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b37e5a81717426/Documents/Breaking the Model/Spreadsheets/"/>
    </mc:Choice>
  </mc:AlternateContent>
  <bookViews>
    <workbookView xWindow="0" yWindow="0" windowWidth="25587" windowHeight="11713" firstSheet="1" activeTab="9"/>
  </bookViews>
  <sheets>
    <sheet name="Tables" sheetId="11" state="hidden" r:id="rId1"/>
    <sheet name="Sheet1" sheetId="1" r:id="rId2"/>
    <sheet name="Sheet2" sheetId="3" r:id="rId3"/>
    <sheet name="Sheet3" sheetId="4" r:id="rId4"/>
    <sheet name="Sheet4" sheetId="2" r:id="rId5"/>
    <sheet name="Sheet5" sheetId="5" r:id="rId6"/>
    <sheet name="Sheet6" sheetId="6" r:id="rId7"/>
    <sheet name="Sheet7" sheetId="8" r:id="rId8"/>
    <sheet name="Sheet8" sheetId="9" r:id="rId9"/>
    <sheet name="Sheet9" sheetId="10" r:id="rId10"/>
    <sheet name="Sheet4 (2)" sheetId="12" state="hidden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9" l="1"/>
  <c r="C53" i="9"/>
  <c r="C52" i="9"/>
  <c r="C51" i="9"/>
  <c r="C50" i="9"/>
  <c r="C49" i="9"/>
  <c r="D46" i="9"/>
  <c r="D50" i="9"/>
  <c r="C2" i="12" l="1" a="1"/>
  <c r="C3" i="12" s="1"/>
  <c r="A2" i="12" a="1"/>
  <c r="A27" i="12" s="1"/>
  <c r="C1" i="12"/>
  <c r="A1" i="12"/>
  <c r="C8" i="12" l="1"/>
  <c r="C10" i="12"/>
  <c r="C18" i="12"/>
  <c r="C26" i="12"/>
  <c r="C2" i="12"/>
  <c r="C17" i="12"/>
  <c r="C24" i="12"/>
  <c r="C23" i="12"/>
  <c r="C7" i="12"/>
  <c r="C22" i="12"/>
  <c r="C21" i="12"/>
  <c r="C5" i="12"/>
  <c r="C20" i="12"/>
  <c r="C12" i="12"/>
  <c r="C4" i="12"/>
  <c r="C25" i="12"/>
  <c r="C9" i="12"/>
  <c r="C16" i="12"/>
  <c r="C15" i="12"/>
  <c r="C14" i="12"/>
  <c r="C6" i="12"/>
  <c r="C13" i="12"/>
  <c r="C27" i="12"/>
  <c r="C19" i="12"/>
  <c r="C11" i="12"/>
  <c r="A4" i="12"/>
  <c r="A8" i="12"/>
  <c r="A12" i="12"/>
  <c r="A16" i="12"/>
  <c r="A20" i="12"/>
  <c r="A24" i="12"/>
  <c r="A5" i="12"/>
  <c r="A13" i="12"/>
  <c r="A21" i="12"/>
  <c r="A6" i="12"/>
  <c r="A14" i="12"/>
  <c r="A22" i="12"/>
  <c r="A7" i="12"/>
  <c r="A15" i="12"/>
  <c r="A23" i="12"/>
  <c r="A9" i="12"/>
  <c r="A17" i="12"/>
  <c r="A25" i="12"/>
  <c r="A2" i="12"/>
  <c r="A10" i="12"/>
  <c r="A18" i="12"/>
  <c r="A26" i="12"/>
  <c r="A3" i="12"/>
  <c r="A11" i="12"/>
  <c r="A19" i="12"/>
  <c r="C33" i="10" a="1"/>
  <c r="C33" i="10" s="1"/>
  <c r="C34" i="10" a="1"/>
  <c r="C34" i="10" s="1"/>
  <c r="C35" i="10" a="1"/>
  <c r="C35" i="10" s="1"/>
  <c r="C36" i="10" a="1"/>
  <c r="C36" i="10" s="1"/>
  <c r="C37" i="10" a="1"/>
  <c r="C37" i="10" s="1"/>
  <c r="C32" i="10" a="1"/>
  <c r="C32" i="10" s="1"/>
  <c r="E41" i="10" a="1"/>
  <c r="G41" i="10" s="1"/>
  <c r="J23" i="10" a="1"/>
  <c r="M23" i="10" s="1"/>
  <c r="E23" i="10" a="1"/>
  <c r="G23" i="10" s="1"/>
  <c r="C33" i="9" a="1"/>
  <c r="C33" i="9" s="1"/>
  <c r="C34" i="9" a="1"/>
  <c r="C34" i="9" s="1"/>
  <c r="C35" i="9" a="1"/>
  <c r="C35" i="9" s="1"/>
  <c r="C36" i="9" a="1"/>
  <c r="C36" i="9" s="1"/>
  <c r="C37" i="9" a="1"/>
  <c r="C37" i="9" s="1"/>
  <c r="C32" i="9" a="1"/>
  <c r="C32" i="9" s="1"/>
  <c r="E41" i="9" a="1"/>
  <c r="H41" i="9" s="1"/>
  <c r="J23" i="9" a="1"/>
  <c r="M23" i="9" s="1"/>
  <c r="E23" i="9" a="1"/>
  <c r="E23" i="9" s="1"/>
  <c r="J23" i="8" a="1"/>
  <c r="M23" i="8" s="1"/>
  <c r="E23" i="8" a="1"/>
  <c r="E23" i="8" s="1"/>
  <c r="H41" i="10" l="1"/>
  <c r="E41" i="10"/>
  <c r="F41" i="10"/>
  <c r="J23" i="10"/>
  <c r="K23" i="10"/>
  <c r="L23" i="10"/>
  <c r="H23" i="10"/>
  <c r="E23" i="10"/>
  <c r="F23" i="10"/>
  <c r="E41" i="9"/>
  <c r="F41" i="9"/>
  <c r="G41" i="9"/>
  <c r="F23" i="9"/>
  <c r="G23" i="9"/>
  <c r="J23" i="9"/>
  <c r="H23" i="9"/>
  <c r="K23" i="9"/>
  <c r="L23" i="9"/>
  <c r="K23" i="8"/>
  <c r="L23" i="8"/>
  <c r="J23" i="8"/>
  <c r="H23" i="8"/>
  <c r="G23" i="8"/>
  <c r="F23" i="8"/>
  <c r="M45" i="10" a="1"/>
  <c r="M45" i="10" s="1"/>
  <c r="D45" i="10" a="1"/>
  <c r="D45" i="10" s="1"/>
  <c r="M44" i="10" a="1"/>
  <c r="M44" i="10" s="1"/>
  <c r="D44" i="10" a="1"/>
  <c r="D44" i="10" s="1"/>
  <c r="M43" i="10" a="1"/>
  <c r="M43" i="10" s="1"/>
  <c r="D43" i="10"/>
  <c r="D43" i="10" a="1"/>
  <c r="M42" i="10" a="1"/>
  <c r="M42" i="10" s="1"/>
  <c r="D42" i="10" a="1"/>
  <c r="D42" i="10" s="1"/>
  <c r="L43" i="10" a="1"/>
  <c r="J45" i="10" a="1"/>
  <c r="L45" i="9" a="1"/>
  <c r="J44" i="10" a="1"/>
  <c r="L44" i="10" a="1"/>
  <c r="K42" i="10" a="1"/>
  <c r="K43" i="10" a="1"/>
  <c r="L42" i="10" a="1"/>
  <c r="K45" i="10" a="1"/>
  <c r="L45" i="10" a="1"/>
  <c r="K44" i="10" a="1"/>
  <c r="J42" i="10" a="1"/>
  <c r="J43" i="10" a="1"/>
  <c r="J45" i="10" l="1"/>
  <c r="K42" i="10"/>
  <c r="L44" i="10"/>
  <c r="J43" i="10"/>
  <c r="K45" i="10"/>
  <c r="L42" i="10"/>
  <c r="K43" i="10"/>
  <c r="L45" i="10"/>
  <c r="J44" i="10"/>
  <c r="L43" i="10"/>
  <c r="J42" i="10"/>
  <c r="K44" i="10"/>
  <c r="L45" i="9"/>
  <c r="M42" i="9" a="1"/>
  <c r="M42" i="9" s="1"/>
  <c r="M43" i="9" a="1"/>
  <c r="M43" i="9" s="1"/>
  <c r="M44" i="9" a="1"/>
  <c r="M44" i="9" s="1"/>
  <c r="M45" i="9" a="1"/>
  <c r="M45" i="9" s="1"/>
  <c r="D42" i="9" a="1"/>
  <c r="D42" i="9" s="1"/>
  <c r="H27" i="10" a="1"/>
  <c r="H27" i="10" s="1"/>
  <c r="M27" i="10" s="1" a="1"/>
  <c r="M27" i="10" s="1"/>
  <c r="G27" i="10" a="1"/>
  <c r="G27" i="10" s="1"/>
  <c r="F27" i="10" a="1"/>
  <c r="F27" i="10" s="1"/>
  <c r="E27" i="10" a="1"/>
  <c r="E27" i="10" s="1"/>
  <c r="D27" i="10" a="1"/>
  <c r="D27" i="10" s="1"/>
  <c r="H26" i="10"/>
  <c r="H26" i="10" a="1"/>
  <c r="G26" i="10" a="1"/>
  <c r="G26" i="10" s="1"/>
  <c r="F26" i="10" a="1"/>
  <c r="F26" i="10" s="1"/>
  <c r="K26" i="10" s="1" a="1"/>
  <c r="K26" i="10" s="1"/>
  <c r="E26" i="10" a="1"/>
  <c r="E26" i="10" s="1"/>
  <c r="D26" i="10" a="1"/>
  <c r="D26" i="10" s="1"/>
  <c r="H25" i="10" a="1"/>
  <c r="H25" i="10" s="1"/>
  <c r="G25" i="10" a="1"/>
  <c r="G25" i="10" s="1"/>
  <c r="F25" i="10" a="1"/>
  <c r="F25" i="10" s="1"/>
  <c r="E25" i="10" a="1"/>
  <c r="E25" i="10" s="1"/>
  <c r="D25" i="10" a="1"/>
  <c r="D25" i="10" s="1"/>
  <c r="H24" i="10" a="1"/>
  <c r="H24" i="10" s="1"/>
  <c r="G24" i="10" a="1"/>
  <c r="G24" i="10" s="1"/>
  <c r="F24" i="10" a="1"/>
  <c r="F24" i="10" s="1"/>
  <c r="F28" i="10" s="1"/>
  <c r="E24" i="10"/>
  <c r="E24" i="10" a="1"/>
  <c r="D24" i="10" a="1"/>
  <c r="D24" i="10" s="1"/>
  <c r="H27" i="9" a="1"/>
  <c r="H27" i="9" s="1"/>
  <c r="M27" i="9" s="1" a="1"/>
  <c r="M27" i="9" s="1"/>
  <c r="G27" i="9" a="1"/>
  <c r="G27" i="9" s="1"/>
  <c r="L27" i="9" s="1" a="1"/>
  <c r="L27" i="9" s="1"/>
  <c r="F27" i="9" a="1"/>
  <c r="F27" i="9" s="1"/>
  <c r="K27" i="9" s="1" a="1"/>
  <c r="K27" i="9" s="1"/>
  <c r="E27" i="9" a="1"/>
  <c r="E27" i="9" s="1"/>
  <c r="J27" i="9" s="1" a="1"/>
  <c r="J27" i="9" s="1"/>
  <c r="D27" i="9" a="1"/>
  <c r="D27" i="9" s="1"/>
  <c r="H26" i="9" a="1"/>
  <c r="H26" i="9" s="1"/>
  <c r="M26" i="9" s="1" a="1"/>
  <c r="M26" i="9" s="1"/>
  <c r="G26" i="9" a="1"/>
  <c r="G26" i="9" s="1"/>
  <c r="L26" i="9" s="1" a="1"/>
  <c r="L26" i="9" s="1"/>
  <c r="F26" i="9" a="1"/>
  <c r="F26" i="9" s="1"/>
  <c r="K26" i="9" s="1" a="1"/>
  <c r="K26" i="9" s="1"/>
  <c r="E26" i="9" a="1"/>
  <c r="E26" i="9" s="1"/>
  <c r="J26" i="9" s="1" a="1"/>
  <c r="J26" i="9" s="1"/>
  <c r="D26" i="9" a="1"/>
  <c r="D26" i="9" s="1"/>
  <c r="H25" i="9" a="1"/>
  <c r="H25" i="9" s="1"/>
  <c r="M25" i="9" s="1" a="1"/>
  <c r="M25" i="9" s="1"/>
  <c r="G25" i="9" a="1"/>
  <c r="G25" i="9" s="1"/>
  <c r="L25" i="9" s="1" a="1"/>
  <c r="L25" i="9" s="1"/>
  <c r="F25" i="9" a="1"/>
  <c r="F25" i="9" s="1"/>
  <c r="K25" i="9" s="1" a="1"/>
  <c r="K25" i="9" s="1"/>
  <c r="E25" i="9" a="1"/>
  <c r="E25" i="9" s="1"/>
  <c r="J25" i="9" s="1" a="1"/>
  <c r="J25" i="9" s="1"/>
  <c r="D25" i="9" a="1"/>
  <c r="D25" i="9" s="1"/>
  <c r="H24" i="9" a="1"/>
  <c r="H24" i="9" s="1"/>
  <c r="G24" i="9" a="1"/>
  <c r="G24" i="9" s="1"/>
  <c r="F24" i="9" a="1"/>
  <c r="F24" i="9" s="1"/>
  <c r="K24" i="9" s="1" a="1"/>
  <c r="K24" i="9" s="1"/>
  <c r="E24" i="9" a="1"/>
  <c r="E24" i="9" s="1"/>
  <c r="D24" i="9" a="1"/>
  <c r="D24" i="9" s="1"/>
  <c r="F24" i="8" a="1"/>
  <c r="F24" i="8" s="1"/>
  <c r="G24" i="8" a="1"/>
  <c r="G24" i="8" s="1"/>
  <c r="H24" i="8" a="1"/>
  <c r="H24" i="8" s="1"/>
  <c r="F25" i="8" a="1"/>
  <c r="F25" i="8" s="1"/>
  <c r="G25" i="8" a="1"/>
  <c r="G25" i="8" s="1"/>
  <c r="H25" i="8" a="1"/>
  <c r="H25" i="8" s="1"/>
  <c r="F26" i="8" a="1"/>
  <c r="F26" i="8" s="1"/>
  <c r="K26" i="8" s="1" a="1"/>
  <c r="K26" i="8" s="1"/>
  <c r="G26" i="8" a="1"/>
  <c r="G26" i="8" s="1"/>
  <c r="H26" i="8" a="1"/>
  <c r="H26" i="8" s="1"/>
  <c r="F27" i="8" a="1"/>
  <c r="F27" i="8" s="1"/>
  <c r="G27" i="8" a="1"/>
  <c r="G27" i="8" s="1"/>
  <c r="H27" i="8" a="1"/>
  <c r="H27" i="8" s="1"/>
  <c r="M27" i="8" s="1" a="1"/>
  <c r="M27" i="8" s="1"/>
  <c r="E25" i="8" a="1"/>
  <c r="E25" i="8" s="1"/>
  <c r="E26" i="8" a="1"/>
  <c r="E26" i="8" s="1"/>
  <c r="E27" i="8" a="1"/>
  <c r="E27" i="8" s="1"/>
  <c r="N14" i="10" a="1"/>
  <c r="N14" i="10" s="1"/>
  <c r="M14" i="10" a="1"/>
  <c r="M14" i="10" s="1"/>
  <c r="L14" i="10" a="1"/>
  <c r="L14" i="10" s="1"/>
  <c r="K14" i="10" a="1"/>
  <c r="K14" i="10" s="1"/>
  <c r="J14" i="10" a="1"/>
  <c r="J14" i="10" s="1"/>
  <c r="H14" i="10"/>
  <c r="H14" i="10" a="1"/>
  <c r="G14" i="10"/>
  <c r="G14" i="10" a="1"/>
  <c r="F14" i="10"/>
  <c r="F14" i="10" a="1"/>
  <c r="E14" i="10"/>
  <c r="I14" i="10" s="1"/>
  <c r="E14" i="10" a="1"/>
  <c r="D14" i="10" a="1"/>
  <c r="D14" i="10" s="1"/>
  <c r="N13" i="10" a="1"/>
  <c r="N13" i="10" s="1"/>
  <c r="M13" i="10" a="1"/>
  <c r="M13" i="10" s="1"/>
  <c r="L13" i="10"/>
  <c r="L13" i="10" a="1"/>
  <c r="K13" i="10" a="1"/>
  <c r="K13" i="10" s="1"/>
  <c r="J13" i="10" a="1"/>
  <c r="J13" i="10" s="1"/>
  <c r="H13" i="10" a="1"/>
  <c r="H13" i="10" s="1"/>
  <c r="G13" i="10" a="1"/>
  <c r="G13" i="10" s="1"/>
  <c r="F13" i="10"/>
  <c r="F13" i="10" a="1"/>
  <c r="E13" i="10"/>
  <c r="I13" i="10" s="1"/>
  <c r="E13" i="10" a="1"/>
  <c r="D13" i="10" a="1"/>
  <c r="D13" i="10" s="1"/>
  <c r="N12" i="10" a="1"/>
  <c r="N12" i="10" s="1"/>
  <c r="M12" i="10"/>
  <c r="M12" i="10" a="1"/>
  <c r="L12" i="10"/>
  <c r="L12" i="10" a="1"/>
  <c r="K12" i="10" a="1"/>
  <c r="K12" i="10" s="1"/>
  <c r="J12" i="10" a="1"/>
  <c r="J12" i="10" s="1"/>
  <c r="H12" i="10" a="1"/>
  <c r="H12" i="10" s="1"/>
  <c r="G12" i="10" a="1"/>
  <c r="G12" i="10" s="1"/>
  <c r="F12" i="10"/>
  <c r="F12" i="10" a="1"/>
  <c r="E12" i="10" a="1"/>
  <c r="E12" i="10" s="1"/>
  <c r="I12" i="10" s="1"/>
  <c r="D12" i="10" a="1"/>
  <c r="D12" i="10" s="1"/>
  <c r="N11" i="10" a="1"/>
  <c r="N11" i="10" s="1"/>
  <c r="M11" i="10"/>
  <c r="M11" i="10" a="1"/>
  <c r="L11" i="10" a="1"/>
  <c r="L11" i="10" s="1"/>
  <c r="K11" i="10" a="1"/>
  <c r="K11" i="10" s="1"/>
  <c r="J11" i="10" a="1"/>
  <c r="J11" i="10" s="1"/>
  <c r="H11" i="10" a="1"/>
  <c r="H11" i="10" s="1"/>
  <c r="G11" i="10"/>
  <c r="G11" i="10" a="1"/>
  <c r="F11" i="10"/>
  <c r="F11" i="10" a="1"/>
  <c r="E11" i="10" a="1"/>
  <c r="E11" i="10" s="1"/>
  <c r="I11" i="10" s="1"/>
  <c r="D11" i="10" a="1"/>
  <c r="D11" i="10" s="1"/>
  <c r="N14" i="9" a="1"/>
  <c r="N14" i="9" s="1"/>
  <c r="M14" i="9" a="1"/>
  <c r="M14" i="9" s="1"/>
  <c r="L14" i="9" a="1"/>
  <c r="L14" i="9" s="1"/>
  <c r="K14" i="9" a="1"/>
  <c r="K14" i="9" s="1"/>
  <c r="J14" i="9" a="1"/>
  <c r="J14" i="9" s="1"/>
  <c r="H14" i="9" a="1"/>
  <c r="H14" i="9" s="1"/>
  <c r="G14" i="9" a="1"/>
  <c r="G14" i="9" s="1"/>
  <c r="F14" i="9"/>
  <c r="F14" i="9" a="1"/>
  <c r="E14" i="9" a="1"/>
  <c r="E14" i="9" s="1"/>
  <c r="I14" i="9" s="1"/>
  <c r="D14" i="9" a="1"/>
  <c r="D14" i="9" s="1"/>
  <c r="N13" i="9" a="1"/>
  <c r="N13" i="9" s="1"/>
  <c r="M13" i="9" a="1"/>
  <c r="M13" i="9" s="1"/>
  <c r="L13" i="9" a="1"/>
  <c r="L13" i="9" s="1"/>
  <c r="K13" i="9" a="1"/>
  <c r="K13" i="9" s="1"/>
  <c r="J13" i="9" a="1"/>
  <c r="J13" i="9" s="1"/>
  <c r="H13" i="9" a="1"/>
  <c r="H13" i="9" s="1"/>
  <c r="G13" i="9"/>
  <c r="G13" i="9" a="1"/>
  <c r="F13" i="9" a="1"/>
  <c r="F13" i="9" s="1"/>
  <c r="E13" i="9" a="1"/>
  <c r="E13" i="9" s="1"/>
  <c r="D13" i="9" a="1"/>
  <c r="D13" i="9" s="1"/>
  <c r="N12" i="9" a="1"/>
  <c r="N12" i="9" s="1"/>
  <c r="M12" i="9" a="1"/>
  <c r="M12" i="9" s="1"/>
  <c r="L12" i="9" a="1"/>
  <c r="L12" i="9" s="1"/>
  <c r="K12" i="9" a="1"/>
  <c r="K12" i="9" s="1"/>
  <c r="J12" i="9" a="1"/>
  <c r="J12" i="9" s="1"/>
  <c r="H12" i="9" a="1"/>
  <c r="H12" i="9" s="1"/>
  <c r="G12" i="9" a="1"/>
  <c r="G12" i="9" s="1"/>
  <c r="F12" i="9" a="1"/>
  <c r="F12" i="9" s="1"/>
  <c r="E12" i="9" a="1"/>
  <c r="E12" i="9" s="1"/>
  <c r="I12" i="9" s="1"/>
  <c r="D12" i="9" a="1"/>
  <c r="D12" i="9" s="1"/>
  <c r="N11" i="9"/>
  <c r="N11" i="9" a="1"/>
  <c r="M11" i="9"/>
  <c r="M11" i="9" a="1"/>
  <c r="L11" i="9" a="1"/>
  <c r="L11" i="9" s="1"/>
  <c r="K11" i="9" a="1"/>
  <c r="K11" i="9" s="1"/>
  <c r="J11" i="9" a="1"/>
  <c r="J11" i="9" s="1"/>
  <c r="H11" i="9" a="1"/>
  <c r="H11" i="9" s="1"/>
  <c r="G11" i="9" a="1"/>
  <c r="G11" i="9" s="1"/>
  <c r="F11" i="9" a="1"/>
  <c r="F11" i="9" s="1"/>
  <c r="E11" i="9" a="1"/>
  <c r="E11" i="9" s="1"/>
  <c r="D11" i="9" a="1"/>
  <c r="D11" i="9" s="1"/>
  <c r="N14" i="8" a="1"/>
  <c r="N14" i="8" s="1"/>
  <c r="M14" i="8" a="1"/>
  <c r="M14" i="8" s="1"/>
  <c r="L14" i="8" a="1"/>
  <c r="L14" i="8" s="1"/>
  <c r="K14" i="8" a="1"/>
  <c r="K14" i="8" s="1"/>
  <c r="J14" i="8" a="1"/>
  <c r="J14" i="8" s="1"/>
  <c r="H14" i="8" a="1"/>
  <c r="H14" i="8" s="1"/>
  <c r="G14" i="8"/>
  <c r="G14" i="8" a="1"/>
  <c r="F14" i="8"/>
  <c r="F14" i="8" a="1"/>
  <c r="E14" i="8"/>
  <c r="I14" i="8" s="1"/>
  <c r="E14" i="8" a="1"/>
  <c r="D14" i="8" a="1"/>
  <c r="D14" i="8" s="1"/>
  <c r="N13" i="8"/>
  <c r="N13" i="8" a="1"/>
  <c r="M13" i="8"/>
  <c r="M13" i="8" a="1"/>
  <c r="L13" i="8"/>
  <c r="L13" i="8" a="1"/>
  <c r="K13" i="8" a="1"/>
  <c r="K13" i="8" s="1"/>
  <c r="J13" i="8" a="1"/>
  <c r="J13" i="8" s="1"/>
  <c r="H13" i="8" a="1"/>
  <c r="H13" i="8" s="1"/>
  <c r="G13" i="8"/>
  <c r="G13" i="8" a="1"/>
  <c r="F13" i="8" a="1"/>
  <c r="F13" i="8" s="1"/>
  <c r="E13" i="8" a="1"/>
  <c r="E13" i="8" s="1"/>
  <c r="I13" i="8" s="1"/>
  <c r="D13" i="8" a="1"/>
  <c r="D13" i="8" s="1"/>
  <c r="N12" i="8" a="1"/>
  <c r="N12" i="8" s="1"/>
  <c r="M12" i="8" a="1"/>
  <c r="M12" i="8" s="1"/>
  <c r="L12" i="8" a="1"/>
  <c r="L12" i="8" s="1"/>
  <c r="K12" i="8" a="1"/>
  <c r="K12" i="8" s="1"/>
  <c r="J12" i="8" a="1"/>
  <c r="J12" i="8" s="1"/>
  <c r="H12" i="8" a="1"/>
  <c r="H12" i="8" s="1"/>
  <c r="G12" i="8"/>
  <c r="G12" i="8" a="1"/>
  <c r="F12" i="8"/>
  <c r="F12" i="8" a="1"/>
  <c r="E12" i="8" a="1"/>
  <c r="E12" i="8" s="1"/>
  <c r="I12" i="8" s="1"/>
  <c r="D12" i="8" a="1"/>
  <c r="D12" i="8" s="1"/>
  <c r="N11" i="8"/>
  <c r="N11" i="8" a="1"/>
  <c r="M11" i="8"/>
  <c r="M11" i="8" a="1"/>
  <c r="L11" i="8" a="1"/>
  <c r="L11" i="8" s="1"/>
  <c r="K11" i="8" a="1"/>
  <c r="K11" i="8" s="1"/>
  <c r="J11" i="8" a="1"/>
  <c r="J11" i="8" s="1"/>
  <c r="H11" i="8" a="1"/>
  <c r="H11" i="8" s="1"/>
  <c r="G11" i="8" a="1"/>
  <c r="G11" i="8" s="1"/>
  <c r="F11" i="8" a="1"/>
  <c r="F11" i="8" s="1"/>
  <c r="E11" i="8" a="1"/>
  <c r="E11" i="8" s="1"/>
  <c r="I11" i="8" s="1"/>
  <c r="D11" i="8" a="1"/>
  <c r="D11" i="8" s="1"/>
  <c r="D12" i="6" a="1"/>
  <c r="D12" i="6" s="1"/>
  <c r="E12" i="6" a="1"/>
  <c r="E12" i="6" s="1"/>
  <c r="F12" i="6" a="1"/>
  <c r="F12" i="6" s="1"/>
  <c r="G12" i="6" a="1"/>
  <c r="G12" i="6"/>
  <c r="H12" i="6" a="1"/>
  <c r="H12" i="6" s="1"/>
  <c r="J12" i="6" a="1"/>
  <c r="J12" i="6" s="1"/>
  <c r="K12" i="6" a="1"/>
  <c r="K12" i="6" s="1"/>
  <c r="L12" i="6" a="1"/>
  <c r="L12" i="6" s="1"/>
  <c r="M12" i="6" a="1"/>
  <c r="M12" i="6"/>
  <c r="N12" i="6" a="1"/>
  <c r="N12" i="6" s="1"/>
  <c r="D13" i="6" a="1"/>
  <c r="D13" i="6" s="1"/>
  <c r="E13" i="6" a="1"/>
  <c r="E13" i="6" s="1"/>
  <c r="F13" i="6" a="1"/>
  <c r="F13" i="6" s="1"/>
  <c r="G13" i="6" a="1"/>
  <c r="G13" i="6" s="1"/>
  <c r="H13" i="6" a="1"/>
  <c r="H13" i="6" s="1"/>
  <c r="J13" i="6" a="1"/>
  <c r="J13" i="6" s="1"/>
  <c r="K13" i="6" a="1"/>
  <c r="K13" i="6"/>
  <c r="L13" i="6" a="1"/>
  <c r="L13" i="6"/>
  <c r="M13" i="6" a="1"/>
  <c r="M13" i="6"/>
  <c r="N13" i="6" a="1"/>
  <c r="N13" i="6" s="1"/>
  <c r="D14" i="6" a="1"/>
  <c r="D14" i="6"/>
  <c r="E14" i="6" a="1"/>
  <c r="E14" i="6"/>
  <c r="I14" i="6" s="1"/>
  <c r="F14" i="6" a="1"/>
  <c r="F14" i="6"/>
  <c r="G14" i="6" a="1"/>
  <c r="G14" i="6" s="1"/>
  <c r="H14" i="6" a="1"/>
  <c r="H14" i="6" s="1"/>
  <c r="J14" i="6" a="1"/>
  <c r="J14" i="6" s="1"/>
  <c r="K14" i="6" a="1"/>
  <c r="K14" i="6" s="1"/>
  <c r="L14" i="6" a="1"/>
  <c r="L14" i="6"/>
  <c r="M14" i="6" a="1"/>
  <c r="M14" i="6" s="1"/>
  <c r="N14" i="6" a="1"/>
  <c r="N14" i="6" s="1"/>
  <c r="N11" i="6" a="1"/>
  <c r="N11" i="6" s="1"/>
  <c r="M11" i="6" a="1"/>
  <c r="M11" i="6" s="1"/>
  <c r="L11" i="6" a="1"/>
  <c r="L11" i="6" s="1"/>
  <c r="K11" i="6" a="1"/>
  <c r="K11" i="6" s="1"/>
  <c r="J11" i="6" a="1"/>
  <c r="J11" i="6" s="1"/>
  <c r="H11" i="6" a="1"/>
  <c r="H11" i="6" s="1"/>
  <c r="G11" i="6" a="1"/>
  <c r="G11" i="6" s="1"/>
  <c r="F11" i="6" a="1"/>
  <c r="F11" i="6" s="1"/>
  <c r="E11" i="6" a="1"/>
  <c r="E11" i="6" s="1"/>
  <c r="E24" i="8" a="1"/>
  <c r="E24" i="8" s="1"/>
  <c r="D24" i="8" a="1"/>
  <c r="D24" i="8" s="1"/>
  <c r="D11" i="6" a="1"/>
  <c r="D11" i="6" s="1"/>
  <c r="K44" i="9" a="1"/>
  <c r="L44" i="9" a="1"/>
  <c r="J42" i="9" a="1"/>
  <c r="J43" i="9" a="1"/>
  <c r="J45" i="9" a="1"/>
  <c r="J44" i="9" a="1"/>
  <c r="K45" i="9" a="1"/>
  <c r="L42" i="9" a="1"/>
  <c r="K43" i="9" a="1"/>
  <c r="K42" i="9" a="1"/>
  <c r="L43" i="9" a="1"/>
  <c r="I13" i="9" l="1"/>
  <c r="I26" i="10"/>
  <c r="I27" i="10"/>
  <c r="I25" i="10"/>
  <c r="H28" i="9"/>
  <c r="M24" i="9" a="1"/>
  <c r="M24" i="9" s="1"/>
  <c r="M28" i="9" s="1" a="1"/>
  <c r="M28" i="9" s="1"/>
  <c r="I25" i="9"/>
  <c r="K45" i="9"/>
  <c r="L43" i="9"/>
  <c r="K43" i="9"/>
  <c r="K42" i="9"/>
  <c r="K44" i="9"/>
  <c r="L42" i="9"/>
  <c r="L44" i="9"/>
  <c r="J45" i="9"/>
  <c r="J44" i="9"/>
  <c r="J43" i="9"/>
  <c r="J42" i="9"/>
  <c r="G28" i="10"/>
  <c r="I24" i="10"/>
  <c r="D28" i="10"/>
  <c r="E28" i="10"/>
  <c r="I28" i="10" s="1" a="1"/>
  <c r="I28" i="10" s="1"/>
  <c r="H28" i="10"/>
  <c r="M28" i="10" a="1"/>
  <c r="G28" i="9"/>
  <c r="L24" i="9" a="1"/>
  <c r="L24" i="9" s="1"/>
  <c r="L28" i="9" s="1" a="1"/>
  <c r="L28" i="9" s="1"/>
  <c r="I26" i="9"/>
  <c r="I27" i="9"/>
  <c r="I24" i="9"/>
  <c r="D28" i="9"/>
  <c r="E28" i="9"/>
  <c r="I28" i="9" s="1" a="1"/>
  <c r="I28" i="9" s="1"/>
  <c r="J24" i="9" a="1"/>
  <c r="J24" i="9" s="1"/>
  <c r="J28" i="9" s="1" a="1"/>
  <c r="J28" i="9" s="1"/>
  <c r="K28" i="9" a="1"/>
  <c r="K28" i="9" s="1"/>
  <c r="F28" i="9"/>
  <c r="I11" i="9"/>
  <c r="I13" i="6"/>
  <c r="I12" i="6"/>
  <c r="B7" i="5" a="1"/>
  <c r="B7" i="5" s="1"/>
  <c r="B4" i="5" a="1"/>
  <c r="B4" i="5" s="1"/>
  <c r="A2" i="4" l="1" a="1"/>
  <c r="A3" i="4" s="1"/>
  <c r="P1" i="4"/>
  <c r="A1" i="4"/>
  <c r="D1" i="4"/>
  <c r="A24" i="4" l="1"/>
  <c r="A16" i="4"/>
  <c r="A8" i="4"/>
  <c r="A23" i="4"/>
  <c r="A15" i="4"/>
  <c r="A7" i="4"/>
  <c r="A26" i="4"/>
  <c r="A18" i="4"/>
  <c r="A10" i="4"/>
  <c r="A2" i="4"/>
  <c r="A25" i="4"/>
  <c r="A17" i="4"/>
  <c r="A9" i="4"/>
  <c r="A22" i="4"/>
  <c r="A14" i="4"/>
  <c r="A6" i="4"/>
  <c r="A21" i="4"/>
  <c r="A13" i="4"/>
  <c r="A5" i="4"/>
  <c r="A20" i="4"/>
  <c r="A12" i="4"/>
  <c r="A4" i="4"/>
  <c r="A27" i="4"/>
  <c r="A19" i="4"/>
  <c r="A11" i="4"/>
  <c r="A2" i="2" a="1"/>
  <c r="A2" i="2" s="1"/>
  <c r="J2" i="2" a="1"/>
  <c r="J5" i="2" s="1"/>
  <c r="F3" i="11"/>
  <c r="A1" i="2"/>
  <c r="A17" i="2" l="1"/>
  <c r="A24" i="2"/>
  <c r="A8" i="2"/>
  <c r="A15" i="2"/>
  <c r="A6" i="2"/>
  <c r="A25" i="2"/>
  <c r="A9" i="2"/>
  <c r="A16" i="2"/>
  <c r="A23" i="2"/>
  <c r="A7" i="2"/>
  <c r="A22" i="2"/>
  <c r="A14" i="2"/>
  <c r="A21" i="2"/>
  <c r="A5" i="2"/>
  <c r="A27" i="2"/>
  <c r="A20" i="2"/>
  <c r="A12" i="2"/>
  <c r="A4" i="2"/>
  <c r="A19" i="2"/>
  <c r="A11" i="2"/>
  <c r="A3" i="2"/>
  <c r="A13" i="2"/>
  <c r="A26" i="2"/>
  <c r="A18" i="2"/>
  <c r="A10" i="2"/>
  <c r="J24" i="2"/>
  <c r="J16" i="2"/>
  <c r="J8" i="2"/>
  <c r="J22" i="2"/>
  <c r="J14" i="2"/>
  <c r="J6" i="2"/>
  <c r="J21" i="2"/>
  <c r="J13" i="2"/>
  <c r="J20" i="2"/>
  <c r="J12" i="2"/>
  <c r="J4" i="2"/>
  <c r="J27" i="2"/>
  <c r="J19" i="2"/>
  <c r="J11" i="2"/>
  <c r="J3" i="2"/>
  <c r="J26" i="2"/>
  <c r="J18" i="2"/>
  <c r="J10" i="2"/>
  <c r="J2" i="2"/>
  <c r="J25" i="2"/>
  <c r="J17" i="2"/>
  <c r="J9" i="2"/>
  <c r="J23" i="2"/>
  <c r="J15" i="2"/>
  <c r="J7" i="2"/>
  <c r="E3" i="11"/>
  <c r="A54" i="9" l="1"/>
  <c r="A52" i="9"/>
  <c r="C39" i="8"/>
  <c r="C38" i="8"/>
  <c r="C37" i="8"/>
  <c r="C36" i="8"/>
  <c r="C35" i="8"/>
  <c r="C34" i="8"/>
  <c r="C33" i="8"/>
  <c r="C32" i="8"/>
  <c r="C31" i="8"/>
  <c r="Y2" i="2" a="1"/>
  <c r="Y3" i="2" s="1"/>
  <c r="V2" i="2" a="1"/>
  <c r="V4" i="2" s="1"/>
  <c r="C20" i="10" a="1"/>
  <c r="C20" i="10" s="1"/>
  <c r="A27" i="10" s="1"/>
  <c r="C19" i="10"/>
  <c r="A26" i="10" s="1"/>
  <c r="C19" i="10" a="1"/>
  <c r="C18" i="10" a="1"/>
  <c r="C18" i="10" s="1"/>
  <c r="A25" i="10" s="1"/>
  <c r="C17" i="10" a="1"/>
  <c r="C17" i="10" s="1"/>
  <c r="A24" i="10" s="1"/>
  <c r="C7" i="10"/>
  <c r="C6" i="10"/>
  <c r="C5" i="10"/>
  <c r="C4" i="10"/>
  <c r="D54" i="9"/>
  <c r="V1" i="2"/>
  <c r="Y1" i="2"/>
  <c r="D52" i="9"/>
  <c r="D33" i="8"/>
  <c r="Y24" i="2" l="1"/>
  <c r="Y16" i="2"/>
  <c r="Y8" i="2"/>
  <c r="Y26" i="2"/>
  <c r="Y18" i="2"/>
  <c r="Y10" i="2"/>
  <c r="Y2" i="2"/>
  <c r="Y25" i="2"/>
  <c r="Y17" i="2"/>
  <c r="Y9" i="2"/>
  <c r="Y23" i="2"/>
  <c r="Y15" i="2"/>
  <c r="Y7" i="2"/>
  <c r="Y22" i="2"/>
  <c r="Y6" i="2"/>
  <c r="Y21" i="2"/>
  <c r="Y5" i="2"/>
  <c r="Y20" i="2"/>
  <c r="Y12" i="2"/>
  <c r="Y4" i="2"/>
  <c r="Y14" i="2"/>
  <c r="Y13" i="2"/>
  <c r="Y27" i="2"/>
  <c r="Y19" i="2"/>
  <c r="Y11" i="2"/>
  <c r="V24" i="2"/>
  <c r="V16" i="2"/>
  <c r="V8" i="2"/>
  <c r="V27" i="2"/>
  <c r="V19" i="2"/>
  <c r="V11" i="2"/>
  <c r="V3" i="2"/>
  <c r="V26" i="2"/>
  <c r="V18" i="2"/>
  <c r="V10" i="2"/>
  <c r="V2" i="2"/>
  <c r="V25" i="2"/>
  <c r="V17" i="2"/>
  <c r="V9" i="2"/>
  <c r="V23" i="2"/>
  <c r="V15" i="2"/>
  <c r="V7" i="2"/>
  <c r="V22" i="2"/>
  <c r="V14" i="2"/>
  <c r="V6" i="2"/>
  <c r="V21" i="2"/>
  <c r="V13" i="2"/>
  <c r="V5" i="2"/>
  <c r="V20" i="2"/>
  <c r="V12" i="2"/>
  <c r="C38" i="10"/>
  <c r="D46" i="10" s="1"/>
  <c r="D43" i="9" a="1"/>
  <c r="D43" i="9" s="1"/>
  <c r="D44" i="9" a="1"/>
  <c r="D44" i="9" s="1"/>
  <c r="D45" i="9" a="1"/>
  <c r="D45" i="9" s="1"/>
  <c r="C20" i="9" a="1"/>
  <c r="C20" i="9" s="1"/>
  <c r="A27" i="9" s="1"/>
  <c r="C19" i="9" a="1"/>
  <c r="C19" i="9" s="1"/>
  <c r="A26" i="9" s="1"/>
  <c r="C18" i="9" a="1"/>
  <c r="C18" i="9" s="1"/>
  <c r="A25" i="9" s="1"/>
  <c r="C17" i="9" a="1"/>
  <c r="C17" i="9" s="1"/>
  <c r="A24" i="9" s="1"/>
  <c r="C7" i="9"/>
  <c r="C6" i="9"/>
  <c r="C5" i="9"/>
  <c r="C4" i="9"/>
  <c r="A17" i="6" a="1"/>
  <c r="A17" i="6" s="1"/>
  <c r="C7" i="8"/>
  <c r="C6" i="8"/>
  <c r="C5" i="8"/>
  <c r="C4" i="8"/>
  <c r="A31" i="8"/>
  <c r="C19" i="8" a="1"/>
  <c r="C19" i="8" s="1"/>
  <c r="A26" i="8" s="1"/>
  <c r="C20" i="8" a="1"/>
  <c r="C20" i="8" s="1"/>
  <c r="A27" i="8" s="1"/>
  <c r="C17" i="8" a="1"/>
  <c r="C17" i="8" s="1"/>
  <c r="A24" i="8" s="1"/>
  <c r="C18" i="8" a="1"/>
  <c r="C18" i="8" s="1"/>
  <c r="A25" i="8" s="1"/>
  <c r="C6" i="6"/>
  <c r="A13" i="6" s="1"/>
  <c r="C7" i="6"/>
  <c r="A14" i="6" s="1"/>
  <c r="C5" i="6"/>
  <c r="A12" i="6" s="1"/>
  <c r="C4" i="6"/>
  <c r="A11" i="6" s="1"/>
  <c r="D9" i="5" a="1"/>
  <c r="D9" i="5" s="1"/>
  <c r="C8" i="5" a="1"/>
  <c r="C8" i="5" s="1"/>
  <c r="D12" i="5" a="1"/>
  <c r="D12" i="5" s="1"/>
  <c r="C11" i="5" a="1"/>
  <c r="C11" i="5" s="1"/>
  <c r="B10" i="5" a="1"/>
  <c r="B10" i="5" s="1"/>
  <c r="D6" i="5" a="1"/>
  <c r="D6" i="5" s="1"/>
  <c r="C5" i="5" a="1"/>
  <c r="C5" i="5" s="1"/>
  <c r="D3" i="5" a="1"/>
  <c r="D3" i="5" s="1"/>
  <c r="C2" i="5" a="1"/>
  <c r="C2" i="5" s="1"/>
  <c r="D17" i="6" a="1"/>
  <c r="D4" i="6"/>
  <c r="D5" i="6"/>
  <c r="D36" i="9"/>
  <c r="D35" i="9"/>
  <c r="D37" i="8"/>
  <c r="D19" i="8"/>
  <c r="D17" i="8"/>
  <c r="D53" i="9"/>
  <c r="D32" i="8"/>
  <c r="D7" i="6"/>
  <c r="D38" i="8"/>
  <c r="D20" i="8"/>
  <c r="D35" i="8"/>
  <c r="D33" i="9"/>
  <c r="D31" i="8"/>
  <c r="D34" i="9"/>
  <c r="D39" i="8"/>
  <c r="D49" i="9"/>
  <c r="D18" i="8"/>
  <c r="D51" i="9"/>
  <c r="D32" i="9"/>
  <c r="D37" i="9"/>
  <c r="E9" i="5" a="1"/>
  <c r="D34" i="8"/>
  <c r="D36" i="8"/>
  <c r="D6" i="6"/>
  <c r="M26" i="10" l="1" a="1"/>
  <c r="M26" i="10" s="1"/>
  <c r="M24" i="10" a="1"/>
  <c r="M24" i="10" s="1"/>
  <c r="M25" i="10" a="1"/>
  <c r="M25" i="10" s="1"/>
  <c r="C38" i="9"/>
  <c r="D19" i="6"/>
  <c r="D27" i="6"/>
  <c r="D20" i="6"/>
  <c r="D21" i="6"/>
  <c r="D22" i="6"/>
  <c r="D24" i="6"/>
  <c r="D17" i="6"/>
  <c r="D25" i="6"/>
  <c r="D26" i="6"/>
  <c r="D23" i="6"/>
  <c r="D18" i="6"/>
  <c r="A22" i="6"/>
  <c r="A21" i="6"/>
  <c r="A24" i="6"/>
  <c r="A23" i="6"/>
  <c r="A20" i="6"/>
  <c r="A27" i="6"/>
  <c r="A19" i="6"/>
  <c r="A26" i="6"/>
  <c r="A18" i="6"/>
  <c r="A25" i="6"/>
  <c r="D25" i="8" a="1"/>
  <c r="D25" i="8" s="1"/>
  <c r="I25" i="8" s="1"/>
  <c r="D26" i="8" a="1"/>
  <c r="D26" i="8" s="1"/>
  <c r="I26" i="8" s="1"/>
  <c r="D28" i="8"/>
  <c r="D27" i="8" a="1"/>
  <c r="D27" i="8" s="1"/>
  <c r="I27" i="8" s="1"/>
  <c r="E9" i="5"/>
  <c r="P2" i="4" a="1"/>
  <c r="P7" i="4" s="1"/>
  <c r="D2" i="4" a="1"/>
  <c r="D24" i="4" s="1"/>
  <c r="L2" i="4" a="1"/>
  <c r="L4" i="4" s="1"/>
  <c r="H2" i="4" a="1"/>
  <c r="H4" i="4" s="1"/>
  <c r="I2" i="3" a="1"/>
  <c r="I3" i="3" s="1"/>
  <c r="G2" i="3" a="1"/>
  <c r="G4" i="3" s="1"/>
  <c r="E2" i="3" a="1"/>
  <c r="E4" i="3" s="1"/>
  <c r="C2" i="3" a="1"/>
  <c r="C3" i="3" s="1"/>
  <c r="A2" i="3" a="1"/>
  <c r="A4" i="3" s="1"/>
  <c r="S2" i="2" a="1"/>
  <c r="S4" i="2" s="1"/>
  <c r="P2" i="2" a="1"/>
  <c r="P4" i="2" s="1"/>
  <c r="M2" i="2" a="1"/>
  <c r="M4" i="2" s="1"/>
  <c r="G2" i="2" a="1"/>
  <c r="G4" i="2" s="1"/>
  <c r="D2" i="2" a="1"/>
  <c r="D2" i="2" s="1"/>
  <c r="D1" i="2"/>
  <c r="I1" i="3"/>
  <c r="E3" i="5" a="1"/>
  <c r="E16" i="5" a="1"/>
  <c r="E4" i="5" a="1"/>
  <c r="M1" i="2"/>
  <c r="E19" i="5" a="1"/>
  <c r="E1" i="3"/>
  <c r="H1" i="4"/>
  <c r="J1" i="2"/>
  <c r="E11" i="5" a="1"/>
  <c r="P1" i="2"/>
  <c r="E8" i="5" a="1"/>
  <c r="E13" i="5" a="1"/>
  <c r="E10" i="5" a="1"/>
  <c r="S1" i="2"/>
  <c r="E20" i="5" a="1"/>
  <c r="E6" i="5" a="1"/>
  <c r="G1" i="3"/>
  <c r="C1" i="3"/>
  <c r="E15" i="5" a="1"/>
  <c r="L1" i="4"/>
  <c r="G1" i="2"/>
  <c r="E5" i="5" a="1"/>
  <c r="E14" i="5" a="1"/>
  <c r="E12" i="5" a="1"/>
  <c r="E2" i="5" a="1"/>
  <c r="A1" i="3"/>
  <c r="E7" i="5" a="1"/>
  <c r="E17" i="5" a="1"/>
  <c r="M28" i="10" l="1"/>
  <c r="L26" i="10" a="1"/>
  <c r="L26" i="10" s="1"/>
  <c r="L27" i="10" a="1"/>
  <c r="L27" i="10" s="1"/>
  <c r="L25" i="10" a="1"/>
  <c r="L25" i="10" s="1"/>
  <c r="L24" i="10" a="1"/>
  <c r="L24" i="10" s="1"/>
  <c r="L28" i="10" s="1" a="1"/>
  <c r="K25" i="10" a="1"/>
  <c r="K25" i="10" s="1"/>
  <c r="K27" i="10" a="1"/>
  <c r="K27" i="10" s="1"/>
  <c r="K24" i="10" a="1"/>
  <c r="K24" i="10" s="1"/>
  <c r="K28" i="10" s="1" a="1"/>
  <c r="K28" i="10" s="1"/>
  <c r="J26" i="10" a="1"/>
  <c r="J26" i="10" s="1"/>
  <c r="J25" i="10" a="1"/>
  <c r="J25" i="10" s="1"/>
  <c r="J28" i="10" s="1" a="1"/>
  <c r="J27" i="10" a="1"/>
  <c r="J27" i="10" s="1"/>
  <c r="J24" i="10" a="1"/>
  <c r="J24" i="10" s="1"/>
  <c r="N29" i="10" s="1"/>
  <c r="P13" i="4"/>
  <c r="P5" i="4"/>
  <c r="P22" i="4"/>
  <c r="P14" i="4"/>
  <c r="P6" i="4"/>
  <c r="P21" i="4"/>
  <c r="P27" i="4"/>
  <c r="P20" i="4"/>
  <c r="P12" i="4"/>
  <c r="P4" i="4"/>
  <c r="P19" i="4"/>
  <c r="P11" i="4"/>
  <c r="P3" i="4"/>
  <c r="P18" i="4"/>
  <c r="P10" i="4"/>
  <c r="P25" i="4"/>
  <c r="P17" i="4"/>
  <c r="P9" i="4"/>
  <c r="P26" i="4"/>
  <c r="P2" i="4"/>
  <c r="P24" i="4"/>
  <c r="P16" i="4"/>
  <c r="P8" i="4"/>
  <c r="P23" i="4"/>
  <c r="P15" i="4"/>
  <c r="I24" i="8"/>
  <c r="F28" i="8"/>
  <c r="I11" i="6"/>
  <c r="E3" i="5"/>
  <c r="E6" i="5"/>
  <c r="E17" i="5"/>
  <c r="E13" i="5"/>
  <c r="E12" i="5"/>
  <c r="E4" i="5"/>
  <c r="E20" i="5"/>
  <c r="E16" i="5"/>
  <c r="E11" i="5"/>
  <c r="E15" i="5"/>
  <c r="E10" i="5"/>
  <c r="E14" i="5"/>
  <c r="E5" i="5"/>
  <c r="E19" i="5"/>
  <c r="E8" i="5"/>
  <c r="E7" i="5"/>
  <c r="E2" i="5"/>
  <c r="D10" i="4"/>
  <c r="D18" i="4"/>
  <c r="D26" i="4"/>
  <c r="D3" i="4"/>
  <c r="D11" i="4"/>
  <c r="D19" i="4"/>
  <c r="D27" i="4"/>
  <c r="D4" i="4"/>
  <c r="D12" i="4"/>
  <c r="D20" i="4"/>
  <c r="D2" i="4"/>
  <c r="D9" i="4"/>
  <c r="D17" i="4"/>
  <c r="D25" i="4"/>
  <c r="D5" i="4"/>
  <c r="D13" i="4"/>
  <c r="D21" i="4"/>
  <c r="D6" i="4"/>
  <c r="D14" i="4"/>
  <c r="D22" i="4"/>
  <c r="D7" i="4"/>
  <c r="D15" i="4"/>
  <c r="D23" i="4"/>
  <c r="D8" i="4"/>
  <c r="D16" i="4"/>
  <c r="L24" i="4"/>
  <c r="L16" i="4"/>
  <c r="L8" i="4"/>
  <c r="L27" i="4"/>
  <c r="L19" i="4"/>
  <c r="L11" i="4"/>
  <c r="L3" i="4"/>
  <c r="L26" i="4"/>
  <c r="L18" i="4"/>
  <c r="L10" i="4"/>
  <c r="L2" i="4"/>
  <c r="L25" i="4"/>
  <c r="L17" i="4"/>
  <c r="L9" i="4"/>
  <c r="L23" i="4"/>
  <c r="L15" i="4"/>
  <c r="L7" i="4"/>
  <c r="L22" i="4"/>
  <c r="L14" i="4"/>
  <c r="L6" i="4"/>
  <c r="L21" i="4"/>
  <c r="L13" i="4"/>
  <c r="L5" i="4"/>
  <c r="L20" i="4"/>
  <c r="L12" i="4"/>
  <c r="H24" i="4"/>
  <c r="H16" i="4"/>
  <c r="H8" i="4"/>
  <c r="H27" i="4"/>
  <c r="H19" i="4"/>
  <c r="H11" i="4"/>
  <c r="H3" i="4"/>
  <c r="H26" i="4"/>
  <c r="H18" i="4"/>
  <c r="H10" i="4"/>
  <c r="H2" i="4"/>
  <c r="H25" i="4"/>
  <c r="H17" i="4"/>
  <c r="H9" i="4"/>
  <c r="H23" i="4"/>
  <c r="H15" i="4"/>
  <c r="H7" i="4"/>
  <c r="H22" i="4"/>
  <c r="H14" i="4"/>
  <c r="H6" i="4"/>
  <c r="H21" i="4"/>
  <c r="H13" i="4"/>
  <c r="H5" i="4"/>
  <c r="H20" i="4"/>
  <c r="H12" i="4"/>
  <c r="I24" i="3"/>
  <c r="I16" i="3"/>
  <c r="I8" i="3"/>
  <c r="I23" i="3"/>
  <c r="I15" i="3"/>
  <c r="I7" i="3"/>
  <c r="I26" i="3"/>
  <c r="I22" i="3"/>
  <c r="I14" i="3"/>
  <c r="I6" i="3"/>
  <c r="I18" i="3"/>
  <c r="I10" i="3"/>
  <c r="I2" i="3"/>
  <c r="I25" i="3"/>
  <c r="I17" i="3"/>
  <c r="I9" i="3"/>
  <c r="I21" i="3"/>
  <c r="I13" i="3"/>
  <c r="I5" i="3"/>
  <c r="I20" i="3"/>
  <c r="I12" i="3"/>
  <c r="I4" i="3"/>
  <c r="I27" i="3"/>
  <c r="I19" i="3"/>
  <c r="I11" i="3"/>
  <c r="G24" i="3"/>
  <c r="G16" i="3"/>
  <c r="G8" i="3"/>
  <c r="G27" i="3"/>
  <c r="G19" i="3"/>
  <c r="G11" i="3"/>
  <c r="G3" i="3"/>
  <c r="G26" i="3"/>
  <c r="G18" i="3"/>
  <c r="G10" i="3"/>
  <c r="G2" i="3"/>
  <c r="G25" i="3"/>
  <c r="G17" i="3"/>
  <c r="G9" i="3"/>
  <c r="G23" i="3"/>
  <c r="G15" i="3"/>
  <c r="G7" i="3"/>
  <c r="G22" i="3"/>
  <c r="G14" i="3"/>
  <c r="G6" i="3"/>
  <c r="G21" i="3"/>
  <c r="G13" i="3"/>
  <c r="G5" i="3"/>
  <c r="G20" i="3"/>
  <c r="G12" i="3"/>
  <c r="E24" i="3"/>
  <c r="E16" i="3"/>
  <c r="E8" i="3"/>
  <c r="E27" i="3"/>
  <c r="E19" i="3"/>
  <c r="E11" i="3"/>
  <c r="E3" i="3"/>
  <c r="E26" i="3"/>
  <c r="E18" i="3"/>
  <c r="E10" i="3"/>
  <c r="E2" i="3"/>
  <c r="E25" i="3"/>
  <c r="E17" i="3"/>
  <c r="E9" i="3"/>
  <c r="E23" i="3"/>
  <c r="E15" i="3"/>
  <c r="E7" i="3"/>
  <c r="E22" i="3"/>
  <c r="E14" i="3"/>
  <c r="E6" i="3"/>
  <c r="E21" i="3"/>
  <c r="E13" i="3"/>
  <c r="E5" i="3"/>
  <c r="E20" i="3"/>
  <c r="E12" i="3"/>
  <c r="C25" i="3"/>
  <c r="C24" i="3"/>
  <c r="C16" i="3"/>
  <c r="C8" i="3"/>
  <c r="C23" i="3"/>
  <c r="C15" i="3"/>
  <c r="C7" i="3"/>
  <c r="C18" i="3"/>
  <c r="C22" i="3"/>
  <c r="C14" i="3"/>
  <c r="C6" i="3"/>
  <c r="C26" i="3"/>
  <c r="C10" i="3"/>
  <c r="C2" i="3"/>
  <c r="C17" i="3"/>
  <c r="C9" i="3"/>
  <c r="C21" i="3"/>
  <c r="C13" i="3"/>
  <c r="C5" i="3"/>
  <c r="C20" i="3"/>
  <c r="C12" i="3"/>
  <c r="C4" i="3"/>
  <c r="C27" i="3"/>
  <c r="C19" i="3"/>
  <c r="C11" i="3"/>
  <c r="A24" i="3"/>
  <c r="A16" i="3"/>
  <c r="A8" i="3"/>
  <c r="A27" i="3"/>
  <c r="A19" i="3"/>
  <c r="A11" i="3"/>
  <c r="A3" i="3"/>
  <c r="A26" i="3"/>
  <c r="A18" i="3"/>
  <c r="A10" i="3"/>
  <c r="A2" i="3"/>
  <c r="A25" i="3"/>
  <c r="A17" i="3"/>
  <c r="A9" i="3"/>
  <c r="A23" i="3"/>
  <c r="A15" i="3"/>
  <c r="A7" i="3"/>
  <c r="A22" i="3"/>
  <c r="A14" i="3"/>
  <c r="A6" i="3"/>
  <c r="A21" i="3"/>
  <c r="A13" i="3"/>
  <c r="A5" i="3"/>
  <c r="A20" i="3"/>
  <c r="A12" i="3"/>
  <c r="S24" i="2"/>
  <c r="S16" i="2"/>
  <c r="S8" i="2"/>
  <c r="S27" i="2"/>
  <c r="S19" i="2"/>
  <c r="S11" i="2"/>
  <c r="S3" i="2"/>
  <c r="S26" i="2"/>
  <c r="S18" i="2"/>
  <c r="S10" i="2"/>
  <c r="S2" i="2"/>
  <c r="S25" i="2"/>
  <c r="S17" i="2"/>
  <c r="S9" i="2"/>
  <c r="S23" i="2"/>
  <c r="S15" i="2"/>
  <c r="S7" i="2"/>
  <c r="S22" i="2"/>
  <c r="S14" i="2"/>
  <c r="S6" i="2"/>
  <c r="S21" i="2"/>
  <c r="S13" i="2"/>
  <c r="S5" i="2"/>
  <c r="S20" i="2"/>
  <c r="S12" i="2"/>
  <c r="P24" i="2"/>
  <c r="P16" i="2"/>
  <c r="P8" i="2"/>
  <c r="P27" i="2"/>
  <c r="P19" i="2"/>
  <c r="P11" i="2"/>
  <c r="P3" i="2"/>
  <c r="P26" i="2"/>
  <c r="P18" i="2"/>
  <c r="P10" i="2"/>
  <c r="P2" i="2"/>
  <c r="P25" i="2"/>
  <c r="P17" i="2"/>
  <c r="P9" i="2"/>
  <c r="P23" i="2"/>
  <c r="P15" i="2"/>
  <c r="P7" i="2"/>
  <c r="P22" i="2"/>
  <c r="P14" i="2"/>
  <c r="P6" i="2"/>
  <c r="P21" i="2"/>
  <c r="P13" i="2"/>
  <c r="P5" i="2"/>
  <c r="P20" i="2"/>
  <c r="P12" i="2"/>
  <c r="M24" i="2"/>
  <c r="M16" i="2"/>
  <c r="M8" i="2"/>
  <c r="M27" i="2"/>
  <c r="M19" i="2"/>
  <c r="M11" i="2"/>
  <c r="M3" i="2"/>
  <c r="M26" i="2"/>
  <c r="M18" i="2"/>
  <c r="M10" i="2"/>
  <c r="M2" i="2"/>
  <c r="M25" i="2"/>
  <c r="M17" i="2"/>
  <c r="M9" i="2"/>
  <c r="M23" i="2"/>
  <c r="M15" i="2"/>
  <c r="M7" i="2"/>
  <c r="M22" i="2"/>
  <c r="M14" i="2"/>
  <c r="M6" i="2"/>
  <c r="M21" i="2"/>
  <c r="M13" i="2"/>
  <c r="M5" i="2"/>
  <c r="M20" i="2"/>
  <c r="M12" i="2"/>
  <c r="G24" i="2"/>
  <c r="G16" i="2"/>
  <c r="G8" i="2"/>
  <c r="G27" i="2"/>
  <c r="G19" i="2"/>
  <c r="G11" i="2"/>
  <c r="G3" i="2"/>
  <c r="G26" i="2"/>
  <c r="G18" i="2"/>
  <c r="G10" i="2"/>
  <c r="G2" i="2"/>
  <c r="G25" i="2"/>
  <c r="G17" i="2"/>
  <c r="G9" i="2"/>
  <c r="G23" i="2"/>
  <c r="G15" i="2"/>
  <c r="G7" i="2"/>
  <c r="G22" i="2"/>
  <c r="G14" i="2"/>
  <c r="G6" i="2"/>
  <c r="G21" i="2"/>
  <c r="G13" i="2"/>
  <c r="G5" i="2"/>
  <c r="G20" i="2"/>
  <c r="G12" i="2"/>
  <c r="D23" i="2"/>
  <c r="D7" i="2"/>
  <c r="D17" i="2"/>
  <c r="D8" i="2"/>
  <c r="D22" i="2"/>
  <c r="D14" i="2"/>
  <c r="D6" i="2"/>
  <c r="D9" i="2"/>
  <c r="D16" i="2"/>
  <c r="D12" i="2"/>
  <c r="D15" i="2"/>
  <c r="D13" i="2"/>
  <c r="D27" i="2"/>
  <c r="D19" i="2"/>
  <c r="D11" i="2"/>
  <c r="D3" i="2"/>
  <c r="D25" i="2"/>
  <c r="D24" i="2"/>
  <c r="D21" i="2"/>
  <c r="D5" i="2"/>
  <c r="D20" i="2"/>
  <c r="D4" i="2"/>
  <c r="D26" i="2"/>
  <c r="D18" i="2"/>
  <c r="D10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8" i="10" l="1"/>
  <c r="J28" i="10"/>
  <c r="N28" i="10" s="1" a="1"/>
  <c r="N28" i="10" s="1"/>
  <c r="G45" i="10" a="1"/>
  <c r="G45" i="10" s="1"/>
  <c r="G42" i="10" a="1"/>
  <c r="G42" i="10" s="1"/>
  <c r="G44" i="10" a="1"/>
  <c r="G44" i="10" s="1"/>
  <c r="G43" i="10" a="1"/>
  <c r="G43" i="10" s="1"/>
  <c r="H43" i="10" a="1"/>
  <c r="H43" i="10" s="1"/>
  <c r="H45" i="10" a="1"/>
  <c r="H45" i="10" s="1"/>
  <c r="H44" i="10" a="1"/>
  <c r="H44" i="10" s="1"/>
  <c r="H42" i="10" a="1"/>
  <c r="H42" i="10" s="1"/>
  <c r="E44" i="10" a="1"/>
  <c r="E44" i="10" s="1"/>
  <c r="E42" i="10" a="1"/>
  <c r="E42" i="10" s="1"/>
  <c r="E43" i="10" a="1"/>
  <c r="E43" i="10" s="1"/>
  <c r="E45" i="10" a="1"/>
  <c r="E45" i="10" s="1"/>
  <c r="F43" i="10" a="1"/>
  <c r="F43" i="10" s="1"/>
  <c r="F45" i="10" a="1"/>
  <c r="F45" i="10" s="1"/>
  <c r="F44" i="10" a="1"/>
  <c r="F44" i="10" s="1"/>
  <c r="F42" i="10" a="1"/>
  <c r="F42" i="10" s="1"/>
  <c r="G28" i="8"/>
  <c r="H28" i="8"/>
  <c r="E28" i="8"/>
  <c r="I28" i="8" s="1" a="1"/>
  <c r="I28" i="8" s="1"/>
  <c r="I45" i="10" l="1"/>
  <c r="I42" i="10"/>
  <c r="I43" i="10"/>
  <c r="I44" i="10"/>
  <c r="M25" i="8" a="1"/>
  <c r="M25" i="8" s="1"/>
  <c r="M26" i="8" a="1"/>
  <c r="M26" i="8" s="1"/>
  <c r="M24" i="8" a="1"/>
  <c r="M24" i="8" s="1"/>
  <c r="K24" i="8" a="1"/>
  <c r="K24" i="8" s="1"/>
  <c r="K25" i="8" a="1"/>
  <c r="K25" i="8" s="1"/>
  <c r="K27" i="8" a="1"/>
  <c r="K27" i="8" s="1"/>
  <c r="L25" i="8" a="1"/>
  <c r="L25" i="8" s="1"/>
  <c r="L26" i="8" a="1"/>
  <c r="L26" i="8" s="1"/>
  <c r="L27" i="8" a="1"/>
  <c r="L27" i="8" s="1"/>
  <c r="L24" i="8" a="1"/>
  <c r="L24" i="8" s="1"/>
  <c r="J26" i="8" a="1"/>
  <c r="J26" i="8" s="1"/>
  <c r="J27" i="8" a="1"/>
  <c r="J27" i="8" s="1"/>
  <c r="J24" i="8" a="1"/>
  <c r="J24" i="8" s="1"/>
  <c r="J25" i="8" a="1"/>
  <c r="J25" i="8" s="1"/>
  <c r="J28" i="8" a="1"/>
  <c r="M28" i="8" a="1"/>
  <c r="M28" i="8" s="1"/>
  <c r="F44" i="9" l="1" a="1"/>
  <c r="F44" i="9" s="1"/>
  <c r="F42" i="9" a="1"/>
  <c r="F42" i="9" s="1"/>
  <c r="F45" i="9" a="1"/>
  <c r="F45" i="9" s="1"/>
  <c r="F43" i="9" a="1"/>
  <c r="F43" i="9" s="1"/>
  <c r="N29" i="9"/>
  <c r="N28" i="9" a="1"/>
  <c r="N28" i="9" s="1"/>
  <c r="J28" i="8"/>
  <c r="N28" i="8" s="1" a="1"/>
  <c r="N28" i="8" s="1"/>
  <c r="L28" i="8" a="1"/>
  <c r="L28" i="8" s="1"/>
  <c r="K28" i="8" a="1"/>
  <c r="K28" i="8" s="1"/>
  <c r="N29" i="8"/>
  <c r="H43" i="9" l="1" a="1"/>
  <c r="H43" i="9" s="1"/>
  <c r="H44" i="9" a="1"/>
  <c r="H44" i="9" s="1"/>
  <c r="H42" i="9" a="1"/>
  <c r="H42" i="9" s="1"/>
  <c r="H45" i="9" a="1"/>
  <c r="H45" i="9" s="1"/>
  <c r="E44" i="9" a="1"/>
  <c r="E44" i="9" s="1"/>
  <c r="E45" i="9" a="1"/>
  <c r="E45" i="9" s="1"/>
  <c r="E42" i="9" a="1"/>
  <c r="E42" i="9" s="1"/>
  <c r="E43" i="9" a="1"/>
  <c r="E43" i="9" s="1"/>
  <c r="G44" i="9" a="1"/>
  <c r="G44" i="9" s="1"/>
  <c r="G42" i="9" a="1"/>
  <c r="G42" i="9" s="1"/>
  <c r="G45" i="9" a="1"/>
  <c r="G45" i="9" s="1"/>
  <c r="G43" i="9" a="1"/>
  <c r="G43" i="9" s="1"/>
  <c r="I42" i="9" l="1"/>
  <c r="I44" i="9"/>
  <c r="I43" i="9"/>
  <c r="I45" i="9"/>
</calcChain>
</file>

<file path=xl/sharedStrings.xml><?xml version="1.0" encoding="utf-8"?>
<sst xmlns="http://schemas.openxmlformats.org/spreadsheetml/2006/main" count="394" uniqueCount="115">
  <si>
    <t>Name</t>
  </si>
  <si>
    <t>Prov</t>
  </si>
  <si>
    <t>Rev</t>
  </si>
  <si>
    <t>Rev%A</t>
  </si>
  <si>
    <t>Rev%B</t>
  </si>
  <si>
    <t>Rev%C</t>
  </si>
  <si>
    <t>Exp</t>
  </si>
  <si>
    <t>Exp%A</t>
  </si>
  <si>
    <t>Exp%B</t>
  </si>
  <si>
    <t>Exp%C</t>
  </si>
  <si>
    <t>Importance</t>
  </si>
  <si>
    <t>Happiness</t>
  </si>
  <si>
    <t>Aardvark</t>
  </si>
  <si>
    <t>QC</t>
  </si>
  <si>
    <t>Butterfly</t>
  </si>
  <si>
    <t>BC</t>
  </si>
  <si>
    <t>Caterpillar</t>
  </si>
  <si>
    <t>ON</t>
  </si>
  <si>
    <t>Dingo</t>
  </si>
  <si>
    <t>Elephant</t>
  </si>
  <si>
    <t>Frog</t>
  </si>
  <si>
    <t>SK</t>
  </si>
  <si>
    <t>Giraffe</t>
  </si>
  <si>
    <t>Hippo</t>
  </si>
  <si>
    <t>MB</t>
  </si>
  <si>
    <t>Iguana</t>
  </si>
  <si>
    <t>Jaguar</t>
  </si>
  <si>
    <t>Kangaroo</t>
  </si>
  <si>
    <t>AB</t>
  </si>
  <si>
    <t>Llama</t>
  </si>
  <si>
    <t>Moose</t>
  </si>
  <si>
    <t>Narwhal</t>
  </si>
  <si>
    <t>Ostrich</t>
  </si>
  <si>
    <t>Pigeon</t>
  </si>
  <si>
    <t>Quail</t>
  </si>
  <si>
    <t>Racoon</t>
  </si>
  <si>
    <t>Snake</t>
  </si>
  <si>
    <t>Tiger</t>
  </si>
  <si>
    <t>Urubu</t>
  </si>
  <si>
    <t>Vertigo</t>
  </si>
  <si>
    <t>Wallaby</t>
  </si>
  <si>
    <t>Xantus</t>
  </si>
  <si>
    <t>Yak</t>
  </si>
  <si>
    <t>Zebrafish</t>
  </si>
  <si>
    <t>Profit</t>
  </si>
  <si>
    <t>Table Name: Data</t>
  </si>
  <si>
    <t>=</t>
  </si>
  <si>
    <t>×</t>
  </si>
  <si>
    <t>n-wt'd</t>
  </si>
  <si>
    <t>median</t>
  </si>
  <si>
    <t>$-wt'd</t>
  </si>
  <si>
    <t>Definitions</t>
  </si>
  <si>
    <t>Analysis</t>
  </si>
  <si>
    <t>%ile</t>
  </si>
  <si>
    <t>Min</t>
  </si>
  <si>
    <t>Label</t>
  </si>
  <si>
    <t>Minimum</t>
  </si>
  <si>
    <t>Quartile 1</t>
  </si>
  <si>
    <t>Quartile 2</t>
  </si>
  <si>
    <t>Quartile 3</t>
  </si>
  <si>
    <t>Micro</t>
  </si>
  <si>
    <t>Small</t>
  </si>
  <si>
    <t>Medium</t>
  </si>
  <si>
    <t>Large</t>
  </si>
  <si>
    <t>Min Rev</t>
  </si>
  <si>
    <t>Boxed formulas, by column</t>
  </si>
  <si>
    <t>n</t>
  </si>
  <si>
    <t>Rev (avg)</t>
  </si>
  <si>
    <t>Exp (agg)</t>
  </si>
  <si>
    <t>Rev (agg)</t>
  </si>
  <si>
    <t>Exp (avg)</t>
  </si>
  <si>
    <t>Profit ($)</t>
  </si>
  <si>
    <t>Profit (n)</t>
  </si>
  <si>
    <t>Happy (n)</t>
  </si>
  <si>
    <t>Happy ($)</t>
  </si>
  <si>
    <t>Min Profit</t>
  </si>
  <si>
    <t>Scraping along</t>
  </si>
  <si>
    <t>Dire straits</t>
  </si>
  <si>
    <t>Paying the bills</t>
  </si>
  <si>
    <t>SUMCHECK</t>
  </si>
  <si>
    <t>Cross-tab: count by profitability &amp; company size</t>
  </si>
  <si>
    <t>Cross-tab: profit by profitability &amp; company size</t>
  </si>
  <si>
    <t>Overall</t>
  </si>
  <si>
    <t>n-weighted average</t>
  </si>
  <si>
    <t>$-weighted average</t>
  </si>
  <si>
    <t>Company list</t>
  </si>
  <si>
    <t>Province</t>
  </si>
  <si>
    <t>Count</t>
  </si>
  <si>
    <t>Prairies</t>
  </si>
  <si>
    <t>Ontario</t>
  </si>
  <si>
    <t>Quebec</t>
  </si>
  <si>
    <t>British Columbia</t>
  </si>
  <si>
    <t>A</t>
  </si>
  <si>
    <t>B</t>
  </si>
  <si>
    <t>C</t>
  </si>
  <si>
    <t>Total</t>
  </si>
  <si>
    <t>Profit by region and revenue stream</t>
  </si>
  <si>
    <t>Cross-tab: count by region &amp; company size</t>
  </si>
  <si>
    <t>Aggregate total</t>
  </si>
  <si>
    <t>Average per company</t>
  </si>
  <si>
    <t>Profit, activity A</t>
  </si>
  <si>
    <t>Profit, overall</t>
  </si>
  <si>
    <t>Stacking Bordens</t>
  </si>
  <si>
    <r>
      <t xml:space="preserve">Micro </t>
    </r>
    <r>
      <rPr>
        <i/>
        <sz val="12"/>
        <color theme="1"/>
        <rFont val="Calibri"/>
        <family val="2"/>
        <scheme val="minor"/>
      </rPr>
      <t>(Column E)</t>
    </r>
  </si>
  <si>
    <r>
      <t xml:space="preserve">SUMCHECK </t>
    </r>
    <r>
      <rPr>
        <i/>
        <sz val="12"/>
        <color theme="1"/>
        <rFont val="Calibri"/>
        <family val="2"/>
        <scheme val="minor"/>
      </rPr>
      <t>(Column I)</t>
    </r>
  </si>
  <si>
    <r>
      <t xml:space="preserve">Micro </t>
    </r>
    <r>
      <rPr>
        <i/>
        <sz val="12"/>
        <color theme="1"/>
        <rFont val="Calibri"/>
        <family val="2"/>
        <scheme val="minor"/>
      </rPr>
      <t>(Column J)</t>
    </r>
  </si>
  <si>
    <r>
      <t xml:space="preserve">SUMCHECK </t>
    </r>
    <r>
      <rPr>
        <i/>
        <sz val="12"/>
        <color theme="1"/>
        <rFont val="Calibri"/>
        <family val="2"/>
        <scheme val="minor"/>
      </rPr>
      <t>(Column N)</t>
    </r>
  </si>
  <si>
    <t>Data Table</t>
  </si>
  <si>
    <t>Heading1</t>
  </si>
  <si>
    <t>Heading2</t>
  </si>
  <si>
    <t>Heading3</t>
  </si>
  <si>
    <t>Revenue, overall</t>
  </si>
  <si>
    <t>Table Name: DefineSize</t>
  </si>
  <si>
    <t>Table Name: DefineProfit</t>
  </si>
  <si>
    <t>Table Name: DefineRegion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</si>
</sst>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,,&quot;M&quot;"/>
    <numFmt numFmtId="166" formatCode="#,##0,&quot;K&quot;"/>
    <numFmt numFmtId="167" formatCode="#,##0.00,,&quot;M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98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98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3" fontId="0" fillId="0" borderId="0" xfId="0" applyNumberFormat="1"/>
    <xf numFmtId="9" fontId="0" fillId="0" borderId="0" xfId="1" applyFont="1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0" fillId="0" borderId="0" xfId="0" applyBorder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9" fontId="0" fillId="0" borderId="2" xfId="1" applyFont="1" applyBorder="1"/>
    <xf numFmtId="9" fontId="0" fillId="0" borderId="3" xfId="1" applyFont="1" applyBorder="1"/>
    <xf numFmtId="9" fontId="0" fillId="0" borderId="4" xfId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7" fillId="0" borderId="0" xfId="0" applyFont="1"/>
    <xf numFmtId="166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9" fontId="0" fillId="0" borderId="0" xfId="1" applyFon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/>
    <xf numFmtId="0" fontId="7" fillId="0" borderId="0" xfId="0" applyFont="1" applyAlignment="1"/>
    <xf numFmtId="2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Border="1"/>
    <xf numFmtId="167" fontId="0" fillId="0" borderId="0" xfId="0" applyNumberFormat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164" fontId="7" fillId="0" borderId="0" xfId="1" applyNumberFormat="1" applyFont="1"/>
    <xf numFmtId="0" fontId="7" fillId="0" borderId="0" xfId="0" applyFont="1" applyFill="1" applyBorder="1"/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/>
    <xf numFmtId="0" fontId="4" fillId="0" borderId="0" xfId="0" applyFont="1" applyFill="1" applyBorder="1"/>
    <xf numFmtId="2" fontId="0" fillId="0" borderId="0" xfId="0" applyNumberFormat="1" applyFill="1" applyBorder="1"/>
    <xf numFmtId="0" fontId="7" fillId="0" borderId="0" xfId="0" applyFont="1" applyFill="1" applyBorder="1" applyAlignment="1">
      <alignment horizontal="right"/>
    </xf>
    <xf numFmtId="164" fontId="7" fillId="0" borderId="0" xfId="1" applyNumberFormat="1" applyFont="1" applyFill="1" applyBorder="1"/>
    <xf numFmtId="0" fontId="3" fillId="0" borderId="0" xfId="0" applyFont="1" applyAlignment="1">
      <alignment horizontal="right"/>
    </xf>
    <xf numFmtId="0" fontId="0" fillId="0" borderId="0" xfId="1" applyNumberFormat="1" applyFont="1" applyFill="1" applyBorder="1"/>
    <xf numFmtId="0" fontId="7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right"/>
    </xf>
    <xf numFmtId="166" fontId="0" fillId="2" borderId="5" xfId="0" applyNumberFormat="1" applyFill="1" applyBorder="1"/>
    <xf numFmtId="0" fontId="0" fillId="2" borderId="5" xfId="0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64" fontId="0" fillId="2" borderId="5" xfId="1" applyNumberFormat="1" applyFont="1" applyFill="1" applyBorder="1"/>
    <xf numFmtId="2" fontId="0" fillId="2" borderId="5" xfId="0" applyNumberFormat="1" applyFill="1" applyBorder="1"/>
    <xf numFmtId="0" fontId="0" fillId="0" borderId="5" xfId="0" applyFill="1" applyBorder="1"/>
    <xf numFmtId="0" fontId="7" fillId="2" borderId="5" xfId="0" applyFont="1" applyFill="1" applyBorder="1"/>
    <xf numFmtId="0" fontId="0" fillId="2" borderId="5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4" fontId="0" fillId="0" borderId="5" xfId="1" applyNumberFormat="1" applyFont="1" applyFill="1" applyBorder="1"/>
    <xf numFmtId="164" fontId="7" fillId="2" borderId="5" xfId="1" applyNumberFormat="1" applyFont="1" applyFill="1" applyBorder="1"/>
    <xf numFmtId="0" fontId="0" fillId="2" borderId="5" xfId="1" applyNumberFormat="1" applyFont="1" applyFill="1" applyBorder="1"/>
    <xf numFmtId="0" fontId="0" fillId="2" borderId="5" xfId="1" applyNumberFormat="1" applyFont="1" applyFill="1" applyBorder="1" applyAlignment="1">
      <alignment horizontal="right"/>
    </xf>
    <xf numFmtId="164" fontId="2" fillId="2" borderId="5" xfId="1" applyNumberFormat="1" applyFont="1" applyFill="1" applyBorder="1"/>
    <xf numFmtId="0" fontId="1" fillId="0" borderId="0" xfId="2"/>
    <xf numFmtId="0" fontId="10" fillId="0" borderId="0" xfId="2" applyFont="1"/>
    <xf numFmtId="0" fontId="1" fillId="0" borderId="0" xfId="2" applyFill="1"/>
    <xf numFmtId="0" fontId="11" fillId="0" borderId="0" xfId="2" applyFont="1"/>
    <xf numFmtId="0" fontId="1" fillId="0" borderId="6" xfId="2" applyBorder="1"/>
    <xf numFmtId="166" fontId="0" fillId="0" borderId="0" xfId="0" applyNumberFormat="1" applyFont="1" applyAlignment="1">
      <alignment horizontal="right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63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6" formatCode="#,##0,&quot;K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6" formatCode="#,##0,&quot;K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#,##0,&quot;K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#,##0,&quot;K&quot;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numFmt numFmtId="3" formatCode="#,##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colors>
    <mruColors>
      <color rgb="FFFF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estTableEver" displayName="BestTableEver" ref="A2:C5" totalsRowShown="0" headerRowCellStyle="Normal 2" dataCellStyle="Normal 2">
  <autoFilter ref="A2:C5"/>
  <tableColumns count="3">
    <tableColumn id="1" name="Heading1" dataCellStyle="Normal 2"/>
    <tableColumn id="2" name="Heading2" dataCellStyle="Normal 2"/>
    <tableColumn id="4" name="Heading3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Data" displayName="Data" ref="A2:L28" totalsRowShown="0" dataDxfId="62" dataCellStyle="Percent">
  <autoFilter ref="A2:L28"/>
  <tableColumns count="12">
    <tableColumn id="1" name="Name"/>
    <tableColumn id="12" name="Prov" dataDxfId="61"/>
    <tableColumn id="2" name="Rev" dataDxfId="60"/>
    <tableColumn id="3" name="Rev%A" dataDxfId="59" dataCellStyle="Percent"/>
    <tableColumn id="4" name="Rev%B" dataDxfId="58" dataCellStyle="Percent"/>
    <tableColumn id="5" name="Rev%C" dataDxfId="57" dataCellStyle="Percent"/>
    <tableColumn id="6" name="Exp" dataDxfId="56"/>
    <tableColumn id="7" name="Exp%A" dataDxfId="55" dataCellStyle="Percent"/>
    <tableColumn id="8" name="Exp%B" dataDxfId="54" dataCellStyle="Percent"/>
    <tableColumn id="9" name="Exp%C" dataDxfId="53" dataCellStyle="Percent"/>
    <tableColumn id="10" name="Importance"/>
    <tableColumn id="11" name="Happiness">
      <calculatedColumnFormula>ROUND((((Data[[#This Row],[Rev]]-Data[[#This Row],[Exp]])/Data[[#This Row],[Rev]]+0.2)/0.6)*5-2.5,0)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DefineSize" displayName="DefineSize" ref="A10:B14" totalsRowShown="0" headerRowDxfId="52" dataDxfId="51">
  <autoFilter ref="A10:B14"/>
  <tableColumns count="2">
    <tableColumn id="1" name="Min Rev" dataDxfId="50">
      <calculatedColumnFormula>C4</calculatedColumnFormula>
    </tableColumn>
    <tableColumn id="2" name="Label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0:B14" totalsRowShown="0">
  <autoFilter ref="A10:B14"/>
  <tableColumns count="2">
    <tableColumn id="1" name="Min Rev" dataDxfId="48"/>
    <tableColumn id="2" name="Label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efineProfit" displayName="DefineProfit" ref="A23:B27" totalsRowShown="0" headerRowDxfId="46">
  <autoFilter ref="A23:B27"/>
  <tableColumns count="2">
    <tableColumn id="1" name="Min Profit" dataDxfId="45">
      <calculatedColumnFormula>C17</calculatedColumnFormula>
    </tableColumn>
    <tableColumn id="2" name="Label" dataDxfId="4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efineRegion" displayName="DefineRegion" ref="A31:B37" totalsRowShown="0" headerRowDxfId="43" dataDxfId="42">
  <autoFilter ref="A31:B37"/>
  <tableColumns count="2">
    <tableColumn id="1" name="Province" dataDxfId="41"/>
    <tableColumn id="2" name="Label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0:B14" totalsRowShown="0" headerRowDxfId="39">
  <autoFilter ref="A10:B14"/>
  <tableColumns count="2">
    <tableColumn id="1" name="Min Rev" dataDxfId="38"/>
    <tableColumn id="2" name="Label" dataDxfId="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23:B27" totalsRowShown="0" headerRowDxfId="36">
  <autoFilter ref="A23:B27"/>
  <tableColumns count="2">
    <tableColumn id="1" name="Min Profit" dataDxfId="35">
      <calculatedColumnFormula>C17</calculatedColumnFormula>
    </tableColumn>
    <tableColumn id="2" name="Label" dataDxfId="3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31:B37" totalsRowShown="0">
  <autoFilter ref="A31:B37"/>
  <tableColumns count="2">
    <tableColumn id="1" name="Province" dataDxfId="33"/>
    <tableColumn id="2" name="Label" dataDxfId="3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0:B14" totalsRowShown="0" headerRowDxfId="31">
  <autoFilter ref="A10:B14"/>
  <tableColumns count="2">
    <tableColumn id="1" name="Min Rev" dataDxfId="30"/>
    <tableColumn id="2" name="Label" dataDxfId="2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23:B27" totalsRowShown="0">
  <autoFilter ref="A23:B27"/>
  <tableColumns count="2">
    <tableColumn id="1" name="Min Profit" dataDxfId="28">
      <calculatedColumnFormula>C17</calculatedColumnFormula>
    </tableColumn>
    <tableColumn id="2" name="Label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workbookViewId="0">
      <selection activeCell="E3" sqref="E3"/>
    </sheetView>
  </sheetViews>
  <sheetFormatPr defaultColWidth="10.94140625" defaultRowHeight="14.35" x14ac:dyDescent="0.5"/>
  <cols>
    <col min="1" max="1" width="10.94140625" style="80" customWidth="1"/>
    <col min="2" max="16384" width="10.94140625" style="80"/>
  </cols>
  <sheetData>
    <row r="1" spans="1:16384" x14ac:dyDescent="0.5">
      <c r="A1" s="81" t="s">
        <v>107</v>
      </c>
    </row>
    <row r="2" spans="1:16384" ht="14.7" thickBot="1" x14ac:dyDescent="0.55000000000000004">
      <c r="A2" s="80" t="s">
        <v>108</v>
      </c>
      <c r="B2" s="80" t="s">
        <v>109</v>
      </c>
      <c r="C2" s="82" t="s">
        <v>110</v>
      </c>
    </row>
    <row r="3" spans="1:16384" ht="14.7" thickBot="1" x14ac:dyDescent="0.55000000000000004">
      <c r="A3" s="80" t="s">
        <v>92</v>
      </c>
      <c r="B3" s="80">
        <v>1</v>
      </c>
      <c r="C3" s="82"/>
      <c r="E3" s="84">
        <f>SUM(BestTableEver[Heading2])</f>
        <v>6</v>
      </c>
      <c r="F3" s="83" t="str">
        <f ca="1">_xlfn.FORMULATEXT(E3)</f>
        <v>=SUM(BestTableEver[Heading2])</v>
      </c>
    </row>
    <row r="4" spans="1:16384" x14ac:dyDescent="0.5">
      <c r="A4" s="80" t="s">
        <v>93</v>
      </c>
      <c r="B4" s="80">
        <v>2</v>
      </c>
      <c r="C4" s="82"/>
    </row>
    <row r="5" spans="1:16384" x14ac:dyDescent="0.5">
      <c r="A5" s="80" t="s">
        <v>94</v>
      </c>
      <c r="B5" s="80">
        <v>3</v>
      </c>
      <c r="C5" s="82"/>
    </row>
    <row r="6" spans="1:16384" ht="15.7" x14ac:dyDescent="0.55000000000000004">
      <c r="A6" s="82"/>
      <c r="B6" s="82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9" spans="1:16384" ht="15.7" x14ac:dyDescent="0.5500000000000000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ColWidth="10.94140625" defaultRowHeight="15.7" x14ac:dyDescent="0.55000000000000004"/>
  <cols>
    <col min="1" max="1" width="10.94140625" customWidth="1"/>
  </cols>
  <sheetData>
    <row r="1" spans="1:17" x14ac:dyDescent="0.55000000000000004">
      <c r="A1" s="33" t="s">
        <v>45</v>
      </c>
    </row>
    <row r="2" spans="1:17" x14ac:dyDescent="0.5500000000000000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7" x14ac:dyDescent="0.55000000000000004">
      <c r="A3" t="s">
        <v>12</v>
      </c>
      <c r="B3" t="s">
        <v>13</v>
      </c>
      <c r="C3" s="1">
        <v>28264000</v>
      </c>
      <c r="D3" s="2">
        <v>0.35</v>
      </c>
      <c r="E3" s="2">
        <v>0.14000000000000001</v>
      </c>
      <c r="F3" s="2">
        <v>0.51</v>
      </c>
      <c r="G3" s="1">
        <v>29302000</v>
      </c>
      <c r="H3" s="2">
        <v>0.32</v>
      </c>
      <c r="I3" s="2">
        <v>0.21</v>
      </c>
      <c r="J3" s="2">
        <v>0.47</v>
      </c>
      <c r="K3">
        <v>3</v>
      </c>
      <c r="L3">
        <f>ROUND((((Data[[#This Row],[Rev]]-Data[[#This Row],[Exp]])/Data[[#This Row],[Rev]]+0.2)/0.6)*5-2.5,0)</f>
        <v>-1</v>
      </c>
    </row>
    <row r="4" spans="1:17" x14ac:dyDescent="0.55000000000000004">
      <c r="A4" t="s">
        <v>14</v>
      </c>
      <c r="B4" t="s">
        <v>15</v>
      </c>
      <c r="C4" s="1">
        <v>129000</v>
      </c>
      <c r="D4" s="2">
        <v>0.56999999999999995</v>
      </c>
      <c r="E4" s="2">
        <v>0.25</v>
      </c>
      <c r="F4" s="2">
        <v>0.18000000000000005</v>
      </c>
      <c r="G4" s="1">
        <v>85000</v>
      </c>
      <c r="H4" s="2">
        <v>0.56000000000000005</v>
      </c>
      <c r="I4" s="2">
        <v>0.17</v>
      </c>
      <c r="J4" s="2">
        <v>0.26999999999999991</v>
      </c>
      <c r="K4">
        <v>2</v>
      </c>
      <c r="L4">
        <f>ROUND((((Data[[#This Row],[Rev]]-Data[[#This Row],[Exp]])/Data[[#This Row],[Rev]]+0.2)/0.6)*5-2.5,0)</f>
        <v>2</v>
      </c>
    </row>
    <row r="5" spans="1:17" x14ac:dyDescent="0.55000000000000004">
      <c r="A5" t="s">
        <v>16</v>
      </c>
      <c r="B5" t="s">
        <v>17</v>
      </c>
      <c r="C5" s="1">
        <v>145000</v>
      </c>
      <c r="D5" s="2">
        <v>0.64</v>
      </c>
      <c r="E5" s="2">
        <v>0.3</v>
      </c>
      <c r="F5" s="2">
        <v>0.06</v>
      </c>
      <c r="G5" s="1">
        <v>138000</v>
      </c>
      <c r="H5" s="2">
        <v>0.65</v>
      </c>
      <c r="I5" s="2">
        <v>0.22</v>
      </c>
      <c r="J5" s="2">
        <v>0.12999999999999998</v>
      </c>
      <c r="K5">
        <v>3</v>
      </c>
      <c r="L5">
        <f>ROUND((((Data[[#This Row],[Rev]]-Data[[#This Row],[Exp]])/Data[[#This Row],[Rev]]+0.2)/0.6)*5-2.5,0)</f>
        <v>0</v>
      </c>
    </row>
    <row r="6" spans="1:17" x14ac:dyDescent="0.55000000000000004">
      <c r="A6" t="s">
        <v>18</v>
      </c>
      <c r="B6" t="s">
        <v>13</v>
      </c>
      <c r="C6" s="1">
        <v>27402000</v>
      </c>
      <c r="D6" s="2">
        <v>0.65</v>
      </c>
      <c r="E6" s="2">
        <v>0.26</v>
      </c>
      <c r="F6" s="2">
        <v>8.9999999999999969E-2</v>
      </c>
      <c r="G6" s="1">
        <v>27054000</v>
      </c>
      <c r="H6" s="2">
        <v>0.67</v>
      </c>
      <c r="I6" s="2">
        <v>0.2</v>
      </c>
      <c r="J6" s="2">
        <v>0.12999999999999995</v>
      </c>
      <c r="K6">
        <v>1</v>
      </c>
      <c r="L6">
        <f>ROUND((((Data[[#This Row],[Rev]]-Data[[#This Row],[Exp]])/Data[[#This Row],[Rev]]+0.2)/0.6)*5-2.5,0)</f>
        <v>-1</v>
      </c>
    </row>
    <row r="7" spans="1:17" x14ac:dyDescent="0.55000000000000004">
      <c r="A7" t="s">
        <v>19</v>
      </c>
      <c r="B7" t="s">
        <v>17</v>
      </c>
      <c r="C7" s="1">
        <v>148000</v>
      </c>
      <c r="D7" s="2">
        <v>0.57999999999999996</v>
      </c>
      <c r="E7" s="2">
        <v>0.11</v>
      </c>
      <c r="F7" s="2">
        <v>0.31000000000000005</v>
      </c>
      <c r="G7" s="1">
        <v>93000</v>
      </c>
      <c r="H7" s="2">
        <v>0.6</v>
      </c>
      <c r="I7" s="2">
        <v>0.06</v>
      </c>
      <c r="J7" s="2">
        <v>0.34</v>
      </c>
      <c r="K7">
        <v>0</v>
      </c>
      <c r="L7">
        <f>ROUND((((Data[[#This Row],[Rev]]-Data[[#This Row],[Exp]])/Data[[#This Row],[Rev]]+0.2)/0.6)*5-2.5,0)</f>
        <v>2</v>
      </c>
      <c r="Q7" s="2"/>
    </row>
    <row r="8" spans="1:17" x14ac:dyDescent="0.55000000000000004">
      <c r="A8" t="s">
        <v>20</v>
      </c>
      <c r="B8" t="s">
        <v>21</v>
      </c>
      <c r="C8" s="1">
        <v>74000</v>
      </c>
      <c r="D8" s="2">
        <v>0.46</v>
      </c>
      <c r="E8" s="2">
        <v>0.11</v>
      </c>
      <c r="F8" s="2">
        <v>0.43000000000000005</v>
      </c>
      <c r="G8" s="1">
        <v>53000</v>
      </c>
      <c r="H8" s="2">
        <v>0.42</v>
      </c>
      <c r="I8" s="2">
        <v>0.06</v>
      </c>
      <c r="J8" s="2">
        <v>0.52</v>
      </c>
      <c r="K8">
        <v>3</v>
      </c>
      <c r="L8">
        <f>ROUND((((Data[[#This Row],[Rev]]-Data[[#This Row],[Exp]])/Data[[#This Row],[Rev]]+0.2)/0.6)*5-2.5,0)</f>
        <v>2</v>
      </c>
      <c r="Q8" s="2"/>
    </row>
    <row r="9" spans="1:17" x14ac:dyDescent="0.55000000000000004">
      <c r="A9" t="s">
        <v>22</v>
      </c>
      <c r="B9" t="s">
        <v>13</v>
      </c>
      <c r="C9" s="1">
        <v>91000</v>
      </c>
      <c r="D9" s="2">
        <v>0.63</v>
      </c>
      <c r="E9" s="2">
        <v>0.1</v>
      </c>
      <c r="F9" s="2">
        <v>0.27</v>
      </c>
      <c r="G9" s="1">
        <v>86000</v>
      </c>
      <c r="H9" s="2">
        <v>0.67</v>
      </c>
      <c r="I9" s="2">
        <v>0.12</v>
      </c>
      <c r="J9" s="2">
        <v>0.20999999999999996</v>
      </c>
      <c r="K9">
        <v>1</v>
      </c>
      <c r="L9">
        <f>ROUND((((Data[[#This Row],[Rev]]-Data[[#This Row],[Exp]])/Data[[#This Row],[Rev]]+0.2)/0.6)*5-2.5,0)</f>
        <v>0</v>
      </c>
      <c r="Q9" s="2"/>
    </row>
    <row r="10" spans="1:17" x14ac:dyDescent="0.55000000000000004">
      <c r="A10" t="s">
        <v>23</v>
      </c>
      <c r="B10" t="s">
        <v>24</v>
      </c>
      <c r="C10" s="1">
        <v>124000</v>
      </c>
      <c r="D10" s="2">
        <v>0.36</v>
      </c>
      <c r="E10" s="2">
        <v>0.13</v>
      </c>
      <c r="F10" s="2">
        <v>0.51</v>
      </c>
      <c r="G10" s="1">
        <v>93000</v>
      </c>
      <c r="H10" s="2">
        <v>0.33</v>
      </c>
      <c r="I10" s="2">
        <v>0.09</v>
      </c>
      <c r="J10" s="2">
        <v>0.57999999999999996</v>
      </c>
      <c r="K10">
        <v>2</v>
      </c>
      <c r="L10">
        <f>ROUND((((Data[[#This Row],[Rev]]-Data[[#This Row],[Exp]])/Data[[#This Row],[Rev]]+0.2)/0.6)*5-2.5,0)</f>
        <v>1</v>
      </c>
    </row>
    <row r="11" spans="1:17" x14ac:dyDescent="0.55000000000000004">
      <c r="A11" t="s">
        <v>25</v>
      </c>
      <c r="B11" t="s">
        <v>17</v>
      </c>
      <c r="C11" s="1">
        <v>5636000</v>
      </c>
      <c r="D11" s="2">
        <v>0.68</v>
      </c>
      <c r="E11" s="2">
        <v>0.13</v>
      </c>
      <c r="F11" s="2">
        <v>0.18999999999999995</v>
      </c>
      <c r="G11" s="1">
        <v>4227000</v>
      </c>
      <c r="H11" s="2">
        <v>0.66</v>
      </c>
      <c r="I11" s="2">
        <v>0.12</v>
      </c>
      <c r="J11" s="2">
        <v>0.21999999999999997</v>
      </c>
      <c r="K11">
        <v>4</v>
      </c>
      <c r="L11">
        <f>ROUND((((Data[[#This Row],[Rev]]-Data[[#This Row],[Exp]])/Data[[#This Row],[Rev]]+0.2)/0.6)*5-2.5,0)</f>
        <v>1</v>
      </c>
    </row>
    <row r="12" spans="1:17" x14ac:dyDescent="0.55000000000000004">
      <c r="A12" t="s">
        <v>26</v>
      </c>
      <c r="B12" t="s">
        <v>13</v>
      </c>
      <c r="C12" s="1">
        <v>9549000</v>
      </c>
      <c r="D12" s="2">
        <v>0.41</v>
      </c>
      <c r="E12" s="2">
        <v>0.15</v>
      </c>
      <c r="F12" s="2">
        <v>0.44000000000000006</v>
      </c>
      <c r="G12" s="1">
        <v>7981000</v>
      </c>
      <c r="H12" s="2">
        <v>0.41</v>
      </c>
      <c r="I12" s="2">
        <v>0.08</v>
      </c>
      <c r="J12" s="2">
        <v>0.51000000000000012</v>
      </c>
      <c r="K12">
        <v>3</v>
      </c>
      <c r="L12">
        <f>ROUND((((Data[[#This Row],[Rev]]-Data[[#This Row],[Exp]])/Data[[#This Row],[Rev]]+0.2)/0.6)*5-2.5,0)</f>
        <v>1</v>
      </c>
    </row>
    <row r="13" spans="1:17" x14ac:dyDescent="0.55000000000000004">
      <c r="A13" t="s">
        <v>27</v>
      </c>
      <c r="B13" t="s">
        <v>28</v>
      </c>
      <c r="C13" s="1">
        <v>283000</v>
      </c>
      <c r="D13" s="2">
        <v>0.56999999999999995</v>
      </c>
      <c r="E13" s="2">
        <v>0.18</v>
      </c>
      <c r="F13" s="2">
        <v>0.25000000000000006</v>
      </c>
      <c r="G13" s="1">
        <v>297000</v>
      </c>
      <c r="H13" s="2">
        <v>0.62</v>
      </c>
      <c r="I13" s="2">
        <v>0.05</v>
      </c>
      <c r="J13" s="2">
        <v>0.33</v>
      </c>
      <c r="K13">
        <v>1</v>
      </c>
      <c r="L13">
        <f>ROUND((((Data[[#This Row],[Rev]]-Data[[#This Row],[Exp]])/Data[[#This Row],[Rev]]+0.2)/0.6)*5-2.5,0)</f>
        <v>-1</v>
      </c>
      <c r="Q13" s="2"/>
    </row>
    <row r="14" spans="1:17" x14ac:dyDescent="0.55000000000000004">
      <c r="A14" t="s">
        <v>29</v>
      </c>
      <c r="B14" t="s">
        <v>15</v>
      </c>
      <c r="C14" s="1">
        <v>11167000</v>
      </c>
      <c r="D14" s="2">
        <v>0.59</v>
      </c>
      <c r="E14" s="2">
        <v>0.1</v>
      </c>
      <c r="F14" s="2">
        <v>0.31000000000000005</v>
      </c>
      <c r="G14" s="1">
        <v>9701000</v>
      </c>
      <c r="H14" s="2">
        <v>0.56999999999999995</v>
      </c>
      <c r="I14" s="2">
        <v>0.12</v>
      </c>
      <c r="J14" s="2">
        <v>0.31000000000000005</v>
      </c>
      <c r="K14">
        <v>2</v>
      </c>
      <c r="L14">
        <f>ROUND((((Data[[#This Row],[Rev]]-Data[[#This Row],[Exp]])/Data[[#This Row],[Rev]]+0.2)/0.6)*5-2.5,0)</f>
        <v>0</v>
      </c>
      <c r="Q14" s="2"/>
    </row>
    <row r="15" spans="1:17" x14ac:dyDescent="0.55000000000000004">
      <c r="A15" t="s">
        <v>30</v>
      </c>
      <c r="B15" t="s">
        <v>15</v>
      </c>
      <c r="C15" s="1">
        <v>90000</v>
      </c>
      <c r="D15" s="2">
        <v>0.4</v>
      </c>
      <c r="E15" s="2">
        <v>0.14000000000000001</v>
      </c>
      <c r="F15" s="2">
        <v>0.45999999999999996</v>
      </c>
      <c r="G15" s="1">
        <v>107000</v>
      </c>
      <c r="H15" s="2">
        <v>0.37</v>
      </c>
      <c r="I15" s="2">
        <v>0.21</v>
      </c>
      <c r="J15" s="2">
        <v>0.42000000000000004</v>
      </c>
      <c r="K15">
        <v>3</v>
      </c>
      <c r="L15">
        <f>ROUND((((Data[[#This Row],[Rev]]-Data[[#This Row],[Exp]])/Data[[#This Row],[Rev]]+0.2)/0.6)*5-2.5,0)</f>
        <v>-2</v>
      </c>
      <c r="Q15" s="2"/>
    </row>
    <row r="16" spans="1:17" x14ac:dyDescent="0.55000000000000004">
      <c r="A16" t="s">
        <v>31</v>
      </c>
      <c r="B16" t="s">
        <v>17</v>
      </c>
      <c r="C16" s="1">
        <v>115687000</v>
      </c>
      <c r="D16" s="2">
        <v>0.41</v>
      </c>
      <c r="E16" s="2">
        <v>0.24</v>
      </c>
      <c r="F16" s="2">
        <v>0.35000000000000009</v>
      </c>
      <c r="G16" s="1">
        <v>104917000</v>
      </c>
      <c r="H16" s="2">
        <v>0.39</v>
      </c>
      <c r="I16" s="2">
        <v>0.19</v>
      </c>
      <c r="J16" s="2">
        <v>0.42</v>
      </c>
      <c r="K16">
        <v>2</v>
      </c>
      <c r="L16">
        <f>ROUND((((Data[[#This Row],[Rev]]-Data[[#This Row],[Exp]])/Data[[#This Row],[Rev]]+0.2)/0.6)*5-2.5,0)</f>
        <v>0</v>
      </c>
      <c r="Q16" s="2"/>
    </row>
    <row r="17" spans="1:17" x14ac:dyDescent="0.55000000000000004">
      <c r="A17" t="s">
        <v>32</v>
      </c>
      <c r="B17" t="s">
        <v>17</v>
      </c>
      <c r="C17" s="1">
        <v>145000</v>
      </c>
      <c r="D17" s="2">
        <v>0.3</v>
      </c>
      <c r="E17" s="2">
        <v>0.2</v>
      </c>
      <c r="F17" s="2">
        <v>0.49999999999999994</v>
      </c>
      <c r="G17" s="1">
        <v>157000</v>
      </c>
      <c r="H17" s="2">
        <v>0.33</v>
      </c>
      <c r="I17" s="2">
        <v>0.18</v>
      </c>
      <c r="J17" s="2">
        <v>0.48999999999999994</v>
      </c>
      <c r="K17">
        <v>4</v>
      </c>
      <c r="L17">
        <f>ROUND((((Data[[#This Row],[Rev]]-Data[[#This Row],[Exp]])/Data[[#This Row],[Rev]]+0.2)/0.6)*5-2.5,0)</f>
        <v>-2</v>
      </c>
      <c r="Q17" s="2"/>
    </row>
    <row r="18" spans="1:17" x14ac:dyDescent="0.55000000000000004">
      <c r="A18" t="s">
        <v>33</v>
      </c>
      <c r="B18" t="s">
        <v>21</v>
      </c>
      <c r="C18" s="1">
        <v>114000</v>
      </c>
      <c r="D18" s="2">
        <v>0.33</v>
      </c>
      <c r="E18" s="2">
        <v>0.23</v>
      </c>
      <c r="F18" s="2">
        <v>0.43999999999999995</v>
      </c>
      <c r="G18" s="1">
        <v>131000</v>
      </c>
      <c r="H18" s="2">
        <v>0.35</v>
      </c>
      <c r="I18" s="2">
        <v>0.21</v>
      </c>
      <c r="J18" s="2">
        <v>0.44000000000000006</v>
      </c>
      <c r="K18">
        <v>2</v>
      </c>
      <c r="L18">
        <f>ROUND((((Data[[#This Row],[Rev]]-Data[[#This Row],[Exp]])/Data[[#This Row],[Rev]]+0.2)/0.6)*5-2.5,0)</f>
        <v>-2</v>
      </c>
    </row>
    <row r="19" spans="1:17" x14ac:dyDescent="0.55000000000000004">
      <c r="A19" t="s">
        <v>34</v>
      </c>
      <c r="B19" t="s">
        <v>17</v>
      </c>
      <c r="C19" s="1">
        <v>13002000</v>
      </c>
      <c r="D19" s="2">
        <v>0.34</v>
      </c>
      <c r="E19" s="2">
        <v>0.24</v>
      </c>
      <c r="F19" s="2">
        <v>0.41999999999999993</v>
      </c>
      <c r="G19" s="1">
        <v>12470000</v>
      </c>
      <c r="H19" s="2">
        <v>0.35</v>
      </c>
      <c r="I19" s="2">
        <v>0.18</v>
      </c>
      <c r="J19" s="2">
        <v>0.47000000000000003</v>
      </c>
      <c r="K19">
        <v>2</v>
      </c>
      <c r="L19">
        <f>ROUND((((Data[[#This Row],[Rev]]-Data[[#This Row],[Exp]])/Data[[#This Row],[Rev]]+0.2)/0.6)*5-2.5,0)</f>
        <v>0</v>
      </c>
    </row>
    <row r="20" spans="1:17" x14ac:dyDescent="0.55000000000000004">
      <c r="A20" t="s">
        <v>35</v>
      </c>
      <c r="B20" t="s">
        <v>13</v>
      </c>
      <c r="C20" s="1">
        <v>96000</v>
      </c>
      <c r="D20" s="2">
        <v>0.3</v>
      </c>
      <c r="E20" s="2">
        <v>0.23</v>
      </c>
      <c r="F20" s="2">
        <v>0.47</v>
      </c>
      <c r="G20" s="1">
        <v>62000</v>
      </c>
      <c r="H20" s="2">
        <v>0.28999999999999998</v>
      </c>
      <c r="I20" s="2">
        <v>0.31</v>
      </c>
      <c r="J20" s="2">
        <v>0.39999999999999997</v>
      </c>
      <c r="K20">
        <v>0</v>
      </c>
      <c r="L20">
        <f>ROUND((((Data[[#This Row],[Rev]]-Data[[#This Row],[Exp]])/Data[[#This Row],[Rev]]+0.2)/0.6)*5-2.5,0)</f>
        <v>2</v>
      </c>
    </row>
    <row r="21" spans="1:17" x14ac:dyDescent="0.55000000000000004">
      <c r="A21" t="s">
        <v>36</v>
      </c>
      <c r="B21" t="s">
        <v>13</v>
      </c>
      <c r="C21" s="1">
        <v>613000</v>
      </c>
      <c r="D21" s="2">
        <v>0.63</v>
      </c>
      <c r="E21" s="2">
        <v>0.19</v>
      </c>
      <c r="F21" s="2">
        <v>0.18</v>
      </c>
      <c r="G21" s="1">
        <v>570000</v>
      </c>
      <c r="H21" s="2">
        <v>0.69</v>
      </c>
      <c r="I21" s="2">
        <v>0.19</v>
      </c>
      <c r="J21" s="2">
        <v>0.12000000000000005</v>
      </c>
      <c r="K21">
        <v>4</v>
      </c>
      <c r="L21">
        <f>ROUND((((Data[[#This Row],[Rev]]-Data[[#This Row],[Exp]])/Data[[#This Row],[Rev]]+0.2)/0.6)*5-2.5,0)</f>
        <v>0</v>
      </c>
    </row>
    <row r="22" spans="1:17" x14ac:dyDescent="0.55000000000000004">
      <c r="A22" t="s">
        <v>37</v>
      </c>
      <c r="B22" t="s">
        <v>13</v>
      </c>
      <c r="C22" s="1">
        <v>1212000</v>
      </c>
      <c r="D22" s="2">
        <v>0.43</v>
      </c>
      <c r="E22" s="2">
        <v>0.25</v>
      </c>
      <c r="F22" s="2">
        <v>0.32000000000000006</v>
      </c>
      <c r="G22" s="1">
        <v>1277000</v>
      </c>
      <c r="H22" s="2">
        <v>0.44</v>
      </c>
      <c r="I22" s="2">
        <v>0.18</v>
      </c>
      <c r="J22" s="2">
        <v>0.38000000000000006</v>
      </c>
      <c r="K22">
        <v>2</v>
      </c>
      <c r="L22">
        <f>ROUND((((Data[[#This Row],[Rev]]-Data[[#This Row],[Exp]])/Data[[#This Row],[Rev]]+0.2)/0.6)*5-2.5,0)</f>
        <v>-1</v>
      </c>
    </row>
    <row r="23" spans="1:17" x14ac:dyDescent="0.55000000000000004">
      <c r="A23" t="s">
        <v>38</v>
      </c>
      <c r="B23" t="s">
        <v>17</v>
      </c>
      <c r="C23" s="1">
        <v>770156000</v>
      </c>
      <c r="D23" s="2">
        <v>0.38</v>
      </c>
      <c r="E23" s="2">
        <v>0.14000000000000001</v>
      </c>
      <c r="F23" s="2">
        <v>0.48</v>
      </c>
      <c r="G23" s="1">
        <v>729399000</v>
      </c>
      <c r="H23" s="2">
        <v>0.37</v>
      </c>
      <c r="I23" s="2">
        <v>0.1</v>
      </c>
      <c r="J23" s="2">
        <v>0.53</v>
      </c>
      <c r="K23">
        <v>2</v>
      </c>
      <c r="L23">
        <f>ROUND((((Data[[#This Row],[Rev]]-Data[[#This Row],[Exp]])/Data[[#This Row],[Rev]]+0.2)/0.6)*5-2.5,0)</f>
        <v>0</v>
      </c>
    </row>
    <row r="24" spans="1:17" x14ac:dyDescent="0.55000000000000004">
      <c r="A24" t="s">
        <v>39</v>
      </c>
      <c r="B24" t="s">
        <v>13</v>
      </c>
      <c r="C24" s="1">
        <v>181206000</v>
      </c>
      <c r="D24" s="2">
        <v>0.61</v>
      </c>
      <c r="E24" s="2">
        <v>0.21</v>
      </c>
      <c r="F24" s="2">
        <v>0.18000000000000002</v>
      </c>
      <c r="G24" s="1">
        <v>164616000</v>
      </c>
      <c r="H24" s="2">
        <v>0.61</v>
      </c>
      <c r="I24" s="2">
        <v>0.17</v>
      </c>
      <c r="J24" s="2">
        <v>0.22</v>
      </c>
      <c r="K24">
        <v>2</v>
      </c>
      <c r="L24">
        <f>ROUND((((Data[[#This Row],[Rev]]-Data[[#This Row],[Exp]])/Data[[#This Row],[Rev]]+0.2)/0.6)*5-2.5,0)</f>
        <v>0</v>
      </c>
    </row>
    <row r="25" spans="1:17" x14ac:dyDescent="0.55000000000000004">
      <c r="A25" t="s">
        <v>40</v>
      </c>
      <c r="B25" t="s">
        <v>17</v>
      </c>
      <c r="C25" s="1">
        <v>113000</v>
      </c>
      <c r="D25" s="2">
        <v>0.61</v>
      </c>
      <c r="E25" s="2">
        <v>0.16</v>
      </c>
      <c r="F25" s="2">
        <v>0.23</v>
      </c>
      <c r="G25" s="1">
        <v>72000</v>
      </c>
      <c r="H25" s="2">
        <v>0.56999999999999995</v>
      </c>
      <c r="I25" s="2">
        <v>0.23</v>
      </c>
      <c r="J25" s="2">
        <v>0.20000000000000004</v>
      </c>
      <c r="K25">
        <v>1</v>
      </c>
      <c r="L25">
        <f>ROUND((((Data[[#This Row],[Rev]]-Data[[#This Row],[Exp]])/Data[[#This Row],[Rev]]+0.2)/0.6)*5-2.5,0)</f>
        <v>2</v>
      </c>
    </row>
    <row r="26" spans="1:17" x14ac:dyDescent="0.55000000000000004">
      <c r="A26" t="s">
        <v>41</v>
      </c>
      <c r="B26" t="s">
        <v>15</v>
      </c>
      <c r="C26" s="1">
        <v>45455000</v>
      </c>
      <c r="D26" s="2">
        <v>0.33</v>
      </c>
      <c r="E26" s="2">
        <v>0.23</v>
      </c>
      <c r="F26" s="2">
        <v>0.43999999999999995</v>
      </c>
      <c r="G26" s="1">
        <v>42152000</v>
      </c>
      <c r="H26" s="2">
        <v>0.3</v>
      </c>
      <c r="I26" s="2">
        <v>0.17</v>
      </c>
      <c r="J26" s="2">
        <v>0.52999999999999992</v>
      </c>
      <c r="K26">
        <v>3</v>
      </c>
      <c r="L26">
        <f>ROUND((((Data[[#This Row],[Rev]]-Data[[#This Row],[Exp]])/Data[[#This Row],[Rev]]+0.2)/0.6)*5-2.5,0)</f>
        <v>0</v>
      </c>
    </row>
    <row r="27" spans="1:17" x14ac:dyDescent="0.55000000000000004">
      <c r="A27" t="s">
        <v>42</v>
      </c>
      <c r="B27" t="s">
        <v>17</v>
      </c>
      <c r="C27" s="1">
        <v>1137000</v>
      </c>
      <c r="D27" s="2">
        <v>0.54</v>
      </c>
      <c r="E27" s="2">
        <v>0.28000000000000003</v>
      </c>
      <c r="F27" s="2">
        <v>0.17999999999999994</v>
      </c>
      <c r="G27" s="1">
        <v>1156000</v>
      </c>
      <c r="H27" s="2">
        <v>0.5</v>
      </c>
      <c r="I27" s="2">
        <v>0.36</v>
      </c>
      <c r="J27" s="2">
        <v>0.14000000000000001</v>
      </c>
      <c r="K27">
        <v>2</v>
      </c>
      <c r="L27">
        <f>ROUND((((Data[[#This Row],[Rev]]-Data[[#This Row],[Exp]])/Data[[#This Row],[Rev]]+0.2)/0.6)*5-2.5,0)</f>
        <v>-1</v>
      </c>
    </row>
    <row r="28" spans="1:17" x14ac:dyDescent="0.55000000000000004">
      <c r="A28" t="s">
        <v>43</v>
      </c>
      <c r="B28" t="s">
        <v>24</v>
      </c>
      <c r="C28" s="1">
        <v>87000</v>
      </c>
      <c r="D28" s="2">
        <v>0.6</v>
      </c>
      <c r="E28" s="2">
        <v>0.14000000000000001</v>
      </c>
      <c r="F28" s="2">
        <v>0.26</v>
      </c>
      <c r="G28" s="1">
        <v>67000</v>
      </c>
      <c r="H28" s="2">
        <v>0.61</v>
      </c>
      <c r="I28" s="2">
        <v>0.15</v>
      </c>
      <c r="J28" s="2">
        <v>0.24000000000000002</v>
      </c>
      <c r="K28">
        <v>3</v>
      </c>
      <c r="L28">
        <f>ROUND((((Data[[#This Row],[Rev]]-Data[[#This Row],[Exp]])/Data[[#This Row],[Rev]]+0.2)/0.6)*5-2.5,0)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"/>
    </sheetView>
  </sheetViews>
  <sheetFormatPr defaultColWidth="10.94140625" defaultRowHeight="15.7" x14ac:dyDescent="0.55000000000000004"/>
  <cols>
    <col min="1" max="5" width="10.94140625" customWidth="1"/>
    <col min="6" max="6" width="4.94140625" bestFit="1" customWidth="1"/>
    <col min="7" max="7" width="10.94140625" customWidth="1"/>
    <col min="8" max="8" width="4.94140625" bestFit="1" customWidth="1"/>
    <col min="9" max="9" width="10.94140625" customWidth="1"/>
  </cols>
  <sheetData>
    <row r="1" spans="1:9" x14ac:dyDescent="0.55000000000000004">
      <c r="A1" s="5" t="str">
        <f ca="1">_xlfn.FORMULATEXT(A2)</f>
        <v>{=Sheet1!A3:A28}</v>
      </c>
      <c r="C1" s="5" t="str">
        <f ca="1">_xlfn.FORMULATEXT(C2)</f>
        <v>{=Data[Name]}</v>
      </c>
      <c r="E1" s="5" t="str">
        <f ca="1">_xlfn.FORMULATEXT(E2)</f>
        <v>{=Data[Rev]}</v>
      </c>
      <c r="G1" s="5" t="str">
        <f ca="1">_xlfn.FORMULATEXT(G2)</f>
        <v>{=Data[Rev%A]}</v>
      </c>
      <c r="I1" s="5" t="str">
        <f ca="1">_xlfn.FORMULATEXT(I2)</f>
        <v>{=Data[Rev]*Data[Rev%A]}</v>
      </c>
    </row>
    <row r="2" spans="1:9" x14ac:dyDescent="0.55000000000000004">
      <c r="A2" s="11" t="str">
        <f t="array" ref="A2:A27">Sheet1!A3:A28</f>
        <v>Aardvark</v>
      </c>
      <c r="C2" s="11" t="str">
        <f t="array" ref="C2:C27">Data[Name]</f>
        <v>Aardvark</v>
      </c>
      <c r="E2" s="11">
        <f t="array" ref="E2:E27">Data[Rev]</f>
        <v>28264000</v>
      </c>
      <c r="F2" s="17" t="s">
        <v>47</v>
      </c>
      <c r="G2" s="14">
        <f t="array" ref="G2:G27">Data[Rev%A]</f>
        <v>0.35</v>
      </c>
      <c r="H2" s="17" t="s">
        <v>46</v>
      </c>
      <c r="I2" s="11">
        <f t="array" ref="I2:I27">Data[Rev]*Data[Rev%A]</f>
        <v>9892400</v>
      </c>
    </row>
    <row r="3" spans="1:9" x14ac:dyDescent="0.55000000000000004">
      <c r="A3" s="12" t="str">
        <v>Butterfly</v>
      </c>
      <c r="C3" s="12" t="str">
        <v>Butterfly</v>
      </c>
      <c r="E3" s="12">
        <v>129000</v>
      </c>
      <c r="F3" s="17" t="s">
        <v>47</v>
      </c>
      <c r="G3" s="15">
        <v>0.56999999999999995</v>
      </c>
      <c r="H3" s="17" t="s">
        <v>46</v>
      </c>
      <c r="I3" s="12">
        <v>73530</v>
      </c>
    </row>
    <row r="4" spans="1:9" x14ac:dyDescent="0.55000000000000004">
      <c r="A4" s="12" t="str">
        <v>Caterpillar</v>
      </c>
      <c r="C4" s="12" t="str">
        <v>Caterpillar</v>
      </c>
      <c r="E4" s="12">
        <v>145000</v>
      </c>
      <c r="F4" s="17" t="s">
        <v>47</v>
      </c>
      <c r="G4" s="15">
        <v>0.64</v>
      </c>
      <c r="H4" s="17" t="s">
        <v>46</v>
      </c>
      <c r="I4" s="12">
        <v>92800</v>
      </c>
    </row>
    <row r="5" spans="1:9" x14ac:dyDescent="0.55000000000000004">
      <c r="A5" s="12" t="str">
        <v>Dingo</v>
      </c>
      <c r="C5" s="12" t="str">
        <v>Dingo</v>
      </c>
      <c r="E5" s="12">
        <v>27402000</v>
      </c>
      <c r="F5" s="17" t="s">
        <v>47</v>
      </c>
      <c r="G5" s="15">
        <v>0.65</v>
      </c>
      <c r="H5" s="17" t="s">
        <v>46</v>
      </c>
      <c r="I5" s="12">
        <v>17811300</v>
      </c>
    </row>
    <row r="6" spans="1:9" x14ac:dyDescent="0.55000000000000004">
      <c r="A6" s="12" t="str">
        <v>Elephant</v>
      </c>
      <c r="C6" s="12" t="str">
        <v>Elephant</v>
      </c>
      <c r="E6" s="12">
        <v>148000</v>
      </c>
      <c r="F6" s="17" t="s">
        <v>47</v>
      </c>
      <c r="G6" s="15">
        <v>0.57999999999999996</v>
      </c>
      <c r="H6" s="17" t="s">
        <v>46</v>
      </c>
      <c r="I6" s="12">
        <v>85840</v>
      </c>
    </row>
    <row r="7" spans="1:9" x14ac:dyDescent="0.55000000000000004">
      <c r="A7" s="12" t="str">
        <v>Frog</v>
      </c>
      <c r="C7" s="12" t="str">
        <v>Frog</v>
      </c>
      <c r="E7" s="12">
        <v>74000</v>
      </c>
      <c r="F7" s="17" t="s">
        <v>47</v>
      </c>
      <c r="G7" s="15">
        <v>0.46</v>
      </c>
      <c r="H7" s="17" t="s">
        <v>46</v>
      </c>
      <c r="I7" s="12">
        <v>34040</v>
      </c>
    </row>
    <row r="8" spans="1:9" x14ac:dyDescent="0.55000000000000004">
      <c r="A8" s="12" t="str">
        <v>Giraffe</v>
      </c>
      <c r="C8" s="12" t="str">
        <v>Giraffe</v>
      </c>
      <c r="E8" s="12">
        <v>91000</v>
      </c>
      <c r="F8" s="17" t="s">
        <v>47</v>
      </c>
      <c r="G8" s="15">
        <v>0.63</v>
      </c>
      <c r="H8" s="17" t="s">
        <v>46</v>
      </c>
      <c r="I8" s="12">
        <v>57330</v>
      </c>
    </row>
    <row r="9" spans="1:9" x14ac:dyDescent="0.55000000000000004">
      <c r="A9" s="12" t="str">
        <v>Hippo</v>
      </c>
      <c r="C9" s="12" t="str">
        <v>Hippo</v>
      </c>
      <c r="E9" s="12">
        <v>124000</v>
      </c>
      <c r="F9" s="17" t="s">
        <v>47</v>
      </c>
      <c r="G9" s="15">
        <v>0.36</v>
      </c>
      <c r="H9" s="17" t="s">
        <v>46</v>
      </c>
      <c r="I9" s="12">
        <v>44640</v>
      </c>
    </row>
    <row r="10" spans="1:9" x14ac:dyDescent="0.55000000000000004">
      <c r="A10" s="12" t="str">
        <v>Iguana</v>
      </c>
      <c r="C10" s="12" t="str">
        <v>Iguana</v>
      </c>
      <c r="E10" s="12">
        <v>5636000</v>
      </c>
      <c r="F10" s="17" t="s">
        <v>47</v>
      </c>
      <c r="G10" s="15">
        <v>0.68</v>
      </c>
      <c r="H10" s="17" t="s">
        <v>46</v>
      </c>
      <c r="I10" s="12">
        <v>3832480.0000000005</v>
      </c>
    </row>
    <row r="11" spans="1:9" x14ac:dyDescent="0.55000000000000004">
      <c r="A11" s="12" t="str">
        <v>Jaguar</v>
      </c>
      <c r="C11" s="12" t="str">
        <v>Jaguar</v>
      </c>
      <c r="E11" s="12">
        <v>9549000</v>
      </c>
      <c r="F11" s="17" t="s">
        <v>47</v>
      </c>
      <c r="G11" s="15">
        <v>0.41</v>
      </c>
      <c r="H11" s="17" t="s">
        <v>46</v>
      </c>
      <c r="I11" s="12">
        <v>3915089.9999999995</v>
      </c>
    </row>
    <row r="12" spans="1:9" x14ac:dyDescent="0.55000000000000004">
      <c r="A12" s="12" t="str">
        <v>Kangaroo</v>
      </c>
      <c r="C12" s="12" t="str">
        <v>Kangaroo</v>
      </c>
      <c r="E12" s="12">
        <v>283000</v>
      </c>
      <c r="F12" s="17" t="s">
        <v>47</v>
      </c>
      <c r="G12" s="15">
        <v>0.56999999999999995</v>
      </c>
      <c r="H12" s="17" t="s">
        <v>46</v>
      </c>
      <c r="I12" s="12">
        <v>161310</v>
      </c>
    </row>
    <row r="13" spans="1:9" x14ac:dyDescent="0.55000000000000004">
      <c r="A13" s="12" t="str">
        <v>Llama</v>
      </c>
      <c r="C13" s="12" t="str">
        <v>Llama</v>
      </c>
      <c r="E13" s="12">
        <v>11167000</v>
      </c>
      <c r="F13" s="17" t="s">
        <v>47</v>
      </c>
      <c r="G13" s="15">
        <v>0.59</v>
      </c>
      <c r="H13" s="17" t="s">
        <v>46</v>
      </c>
      <c r="I13" s="12">
        <v>6588530</v>
      </c>
    </row>
    <row r="14" spans="1:9" x14ac:dyDescent="0.55000000000000004">
      <c r="A14" s="12" t="str">
        <v>Moose</v>
      </c>
      <c r="C14" s="12" t="str">
        <v>Moose</v>
      </c>
      <c r="E14" s="12">
        <v>90000</v>
      </c>
      <c r="F14" s="17" t="s">
        <v>47</v>
      </c>
      <c r="G14" s="15">
        <v>0.4</v>
      </c>
      <c r="H14" s="17" t="s">
        <v>46</v>
      </c>
      <c r="I14" s="12">
        <v>36000</v>
      </c>
    </row>
    <row r="15" spans="1:9" x14ac:dyDescent="0.55000000000000004">
      <c r="A15" s="12" t="str">
        <v>Narwhal</v>
      </c>
      <c r="C15" s="12" t="str">
        <v>Narwhal</v>
      </c>
      <c r="E15" s="12">
        <v>115687000</v>
      </c>
      <c r="F15" s="17" t="s">
        <v>47</v>
      </c>
      <c r="G15" s="15">
        <v>0.41</v>
      </c>
      <c r="H15" s="17" t="s">
        <v>46</v>
      </c>
      <c r="I15" s="12">
        <v>47431670</v>
      </c>
    </row>
    <row r="16" spans="1:9" x14ac:dyDescent="0.55000000000000004">
      <c r="A16" s="12" t="str">
        <v>Ostrich</v>
      </c>
      <c r="C16" s="12" t="str">
        <v>Ostrich</v>
      </c>
      <c r="E16" s="12">
        <v>145000</v>
      </c>
      <c r="F16" s="17" t="s">
        <v>47</v>
      </c>
      <c r="G16" s="15">
        <v>0.3</v>
      </c>
      <c r="H16" s="17" t="s">
        <v>46</v>
      </c>
      <c r="I16" s="12">
        <v>43500</v>
      </c>
    </row>
    <row r="17" spans="1:9" x14ac:dyDescent="0.55000000000000004">
      <c r="A17" s="12" t="str">
        <v>Pigeon</v>
      </c>
      <c r="C17" s="12" t="str">
        <v>Pigeon</v>
      </c>
      <c r="E17" s="12">
        <v>114000</v>
      </c>
      <c r="F17" s="17" t="s">
        <v>47</v>
      </c>
      <c r="G17" s="15">
        <v>0.33</v>
      </c>
      <c r="H17" s="17" t="s">
        <v>46</v>
      </c>
      <c r="I17" s="12">
        <v>37620</v>
      </c>
    </row>
    <row r="18" spans="1:9" x14ac:dyDescent="0.55000000000000004">
      <c r="A18" s="12" t="str">
        <v>Quail</v>
      </c>
      <c r="C18" s="12" t="str">
        <v>Quail</v>
      </c>
      <c r="E18" s="12">
        <v>13002000</v>
      </c>
      <c r="F18" s="17" t="s">
        <v>47</v>
      </c>
      <c r="G18" s="15">
        <v>0.34</v>
      </c>
      <c r="H18" s="17" t="s">
        <v>46</v>
      </c>
      <c r="I18" s="12">
        <v>4420680</v>
      </c>
    </row>
    <row r="19" spans="1:9" x14ac:dyDescent="0.55000000000000004">
      <c r="A19" s="12" t="str">
        <v>Racoon</v>
      </c>
      <c r="C19" s="12" t="str">
        <v>Racoon</v>
      </c>
      <c r="E19" s="12">
        <v>96000</v>
      </c>
      <c r="F19" s="17" t="s">
        <v>47</v>
      </c>
      <c r="G19" s="15">
        <v>0.3</v>
      </c>
      <c r="H19" s="17" t="s">
        <v>46</v>
      </c>
      <c r="I19" s="12">
        <v>28800</v>
      </c>
    </row>
    <row r="20" spans="1:9" x14ac:dyDescent="0.55000000000000004">
      <c r="A20" s="12" t="str">
        <v>Snake</v>
      </c>
      <c r="C20" s="12" t="str">
        <v>Snake</v>
      </c>
      <c r="E20" s="12">
        <v>613000</v>
      </c>
      <c r="F20" s="17" t="s">
        <v>47</v>
      </c>
      <c r="G20" s="15">
        <v>0.63</v>
      </c>
      <c r="H20" s="17" t="s">
        <v>46</v>
      </c>
      <c r="I20" s="12">
        <v>386190</v>
      </c>
    </row>
    <row r="21" spans="1:9" x14ac:dyDescent="0.55000000000000004">
      <c r="A21" s="12" t="str">
        <v>Tiger</v>
      </c>
      <c r="C21" s="12" t="str">
        <v>Tiger</v>
      </c>
      <c r="E21" s="12">
        <v>1212000</v>
      </c>
      <c r="F21" s="17" t="s">
        <v>47</v>
      </c>
      <c r="G21" s="15">
        <v>0.43</v>
      </c>
      <c r="H21" s="17" t="s">
        <v>46</v>
      </c>
      <c r="I21" s="12">
        <v>521160</v>
      </c>
    </row>
    <row r="22" spans="1:9" x14ac:dyDescent="0.55000000000000004">
      <c r="A22" s="12" t="str">
        <v>Urubu</v>
      </c>
      <c r="C22" s="12" t="str">
        <v>Urubu</v>
      </c>
      <c r="E22" s="12">
        <v>770156000</v>
      </c>
      <c r="F22" s="17" t="s">
        <v>47</v>
      </c>
      <c r="G22" s="15">
        <v>0.38</v>
      </c>
      <c r="H22" s="17" t="s">
        <v>46</v>
      </c>
      <c r="I22" s="12">
        <v>292659280</v>
      </c>
    </row>
    <row r="23" spans="1:9" x14ac:dyDescent="0.55000000000000004">
      <c r="A23" s="12" t="str">
        <v>Vertigo</v>
      </c>
      <c r="C23" s="12" t="str">
        <v>Vertigo</v>
      </c>
      <c r="E23" s="12">
        <v>181206000</v>
      </c>
      <c r="F23" s="17" t="s">
        <v>47</v>
      </c>
      <c r="G23" s="15">
        <v>0.61</v>
      </c>
      <c r="H23" s="17" t="s">
        <v>46</v>
      </c>
      <c r="I23" s="12">
        <v>110535660</v>
      </c>
    </row>
    <row r="24" spans="1:9" x14ac:dyDescent="0.55000000000000004">
      <c r="A24" s="12" t="str">
        <v>Wallaby</v>
      </c>
      <c r="C24" s="12" t="str">
        <v>Wallaby</v>
      </c>
      <c r="E24" s="12">
        <v>113000</v>
      </c>
      <c r="F24" s="17" t="s">
        <v>47</v>
      </c>
      <c r="G24" s="15">
        <v>0.61</v>
      </c>
      <c r="H24" s="17" t="s">
        <v>46</v>
      </c>
      <c r="I24" s="12">
        <v>68930</v>
      </c>
    </row>
    <row r="25" spans="1:9" x14ac:dyDescent="0.55000000000000004">
      <c r="A25" s="12" t="str">
        <v>Xantus</v>
      </c>
      <c r="C25" s="12" t="str">
        <v>Xantus</v>
      </c>
      <c r="E25" s="12">
        <v>45455000</v>
      </c>
      <c r="F25" s="17" t="s">
        <v>47</v>
      </c>
      <c r="G25" s="15">
        <v>0.33</v>
      </c>
      <c r="H25" s="17" t="s">
        <v>46</v>
      </c>
      <c r="I25" s="12">
        <v>15000150</v>
      </c>
    </row>
    <row r="26" spans="1:9" x14ac:dyDescent="0.55000000000000004">
      <c r="A26" s="12" t="str">
        <v>Yak</v>
      </c>
      <c r="C26" s="12" t="str">
        <v>Yak</v>
      </c>
      <c r="E26" s="12">
        <v>1137000</v>
      </c>
      <c r="F26" s="17" t="s">
        <v>47</v>
      </c>
      <c r="G26" s="15">
        <v>0.54</v>
      </c>
      <c r="H26" s="17" t="s">
        <v>46</v>
      </c>
      <c r="I26" s="12">
        <v>613980</v>
      </c>
    </row>
    <row r="27" spans="1:9" x14ac:dyDescent="0.55000000000000004">
      <c r="A27" s="13" t="str">
        <v>Zebrafish</v>
      </c>
      <c r="C27" s="13" t="str">
        <v>Zebrafish</v>
      </c>
      <c r="E27" s="13">
        <v>87000</v>
      </c>
      <c r="F27" s="17" t="s">
        <v>47</v>
      </c>
      <c r="G27" s="16">
        <v>0.6</v>
      </c>
      <c r="H27" s="17" t="s">
        <v>46</v>
      </c>
      <c r="I27" s="13">
        <v>52200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2" topLeftCell="C1" activePane="topRight" state="frozen"/>
      <selection pane="topRight" activeCell="D2" sqref="D2"/>
    </sheetView>
  </sheetViews>
  <sheetFormatPr defaultColWidth="10.94140625" defaultRowHeight="15.7" x14ac:dyDescent="0.55000000000000004"/>
  <cols>
    <col min="3" max="3" width="4.94140625" customWidth="1"/>
    <col min="4" max="6" width="10.94140625" customWidth="1"/>
    <col min="7" max="7" width="4.94140625" customWidth="1"/>
    <col min="8" max="10" width="10.94140625" customWidth="1"/>
    <col min="11" max="11" width="4.94140625" customWidth="1"/>
    <col min="12" max="14" width="10.94140625" customWidth="1"/>
    <col min="15" max="15" width="4.94140625" customWidth="1"/>
    <col min="16" max="16" width="10.94140625" customWidth="1"/>
  </cols>
  <sheetData>
    <row r="1" spans="1:20" s="19" customFormat="1" ht="31.35" customHeight="1" x14ac:dyDescent="0.55000000000000004">
      <c r="A1" s="89" t="str">
        <f ca="1">SUBSTITUTE(_xlfn.FORMULATEXT(A2),"!"",","!"", ")</f>
        <v>{=Data[Prov]}</v>
      </c>
      <c r="B1" s="89"/>
      <c r="D1" s="89" t="str">
        <f ca="1">SUBSTITUTE(_xlfn.FORMULATEXT(D2),"!"",","!"", ")</f>
        <v>{=IF(Data[Prov]="QC","Quebec!", "Nope.")}</v>
      </c>
      <c r="E1" s="89"/>
      <c r="F1" s="89"/>
      <c r="H1" s="89" t="str">
        <f ca="1">_xlfn.FORMULATEXT(H2)</f>
        <v>{=IF(Data[Prov]="QC",Data[Rev],0)}</v>
      </c>
      <c r="I1" s="89"/>
      <c r="J1" s="89"/>
      <c r="L1" s="89" t="str">
        <f ca="1">SUBSTITUTE(_xlfn.FORMULATEXT(L2),"]&gt;0","] &gt;0")</f>
        <v>{=IF((Data[Rev]-Data[Exp])/Data[Rev] &gt;0,"Profit","Loss")}</v>
      </c>
      <c r="M1" s="89"/>
      <c r="N1" s="89"/>
      <c r="P1" s="89" t="str">
        <f ca="1">SUBSTITUTE(_xlfn.FORMULATEXT(P2),")/Data[Rev]&gt;0)&lt;&gt;0,",")/Data[Rev]&gt;0)&lt;&gt;0, ")</f>
        <v>{=IF(--(Data[Prov]="QC")*((Data[Rev]-Data[Exp])/Data[Rev]&gt;0)&lt;&gt;0, (Data[Rev]-Data[Exp])/Data[Rev],"")}</v>
      </c>
      <c r="Q1" s="89"/>
      <c r="R1" s="89"/>
      <c r="S1" s="89"/>
      <c r="T1" s="89"/>
    </row>
    <row r="2" spans="1:20" x14ac:dyDescent="0.55000000000000004">
      <c r="A2" s="8" t="str">
        <f t="array" ref="A2:A27">Data[Prov]</f>
        <v>QC</v>
      </c>
      <c r="B2" s="6"/>
      <c r="D2" s="8" t="str">
        <f t="array" ref="D2:D27">IF(Data[Prov]="QC","Quebec!","Nope.")</f>
        <v>Quebec!</v>
      </c>
      <c r="E2" s="6"/>
      <c r="H2" s="26">
        <f t="array" ref="H2:H27">IF(Data[Prov]="QC",Data[Rev],0)</f>
        <v>28264000</v>
      </c>
      <c r="I2" s="6"/>
      <c r="L2" s="23" t="str">
        <f t="array" ref="L2:L27">IF((Data[Rev]-Data[Exp])/Data[Rev]&gt;0,"Profit","Loss")</f>
        <v>Loss</v>
      </c>
      <c r="M2" s="6"/>
      <c r="P2" s="20" t="str">
        <f t="array" ref="P2:P27">IF(--(Data[Prov]="QC")*((Data[Rev]-Data[Exp])/Data[Rev]&gt;0)&lt;&gt;0,(Data[Rev]-Data[Exp])/Data[Rev],"")</f>
        <v/>
      </c>
    </row>
    <row r="3" spans="1:20" x14ac:dyDescent="0.55000000000000004">
      <c r="A3" s="9" t="str">
        <v>BC</v>
      </c>
      <c r="B3" s="6"/>
      <c r="D3" s="9" t="str">
        <v>Nope.</v>
      </c>
      <c r="E3" s="6"/>
      <c r="H3" s="27">
        <v>0</v>
      </c>
      <c r="I3" s="6"/>
      <c r="L3" s="24" t="str">
        <v>Profit</v>
      </c>
      <c r="M3" s="6"/>
      <c r="P3" s="21" t="str">
        <v/>
      </c>
    </row>
    <row r="4" spans="1:20" x14ac:dyDescent="0.55000000000000004">
      <c r="A4" s="9" t="str">
        <v>ON</v>
      </c>
      <c r="B4" s="6"/>
      <c r="D4" s="9" t="str">
        <v>Nope.</v>
      </c>
      <c r="E4" s="6"/>
      <c r="H4" s="27">
        <v>0</v>
      </c>
      <c r="I4" s="6"/>
      <c r="L4" s="24" t="str">
        <v>Profit</v>
      </c>
      <c r="M4" s="6"/>
      <c r="P4" s="21" t="str">
        <v/>
      </c>
    </row>
    <row r="5" spans="1:20" x14ac:dyDescent="0.55000000000000004">
      <c r="A5" s="9" t="str">
        <v>QC</v>
      </c>
      <c r="B5" s="6"/>
      <c r="D5" s="9" t="str">
        <v>Quebec!</v>
      </c>
      <c r="E5" s="6"/>
      <c r="H5" s="27">
        <v>27402000</v>
      </c>
      <c r="I5" s="6"/>
      <c r="L5" s="24" t="str">
        <v>Profit</v>
      </c>
      <c r="M5" s="6"/>
      <c r="P5" s="21">
        <v>1.2699802934092402E-2</v>
      </c>
    </row>
    <row r="6" spans="1:20" x14ac:dyDescent="0.55000000000000004">
      <c r="A6" s="9" t="str">
        <v>ON</v>
      </c>
      <c r="B6" s="6"/>
      <c r="D6" s="9" t="str">
        <v>Nope.</v>
      </c>
      <c r="E6" s="6"/>
      <c r="H6" s="27">
        <v>0</v>
      </c>
      <c r="I6" s="6"/>
      <c r="L6" s="24" t="str">
        <v>Profit</v>
      </c>
      <c r="M6" s="6"/>
      <c r="P6" s="21" t="str">
        <v/>
      </c>
    </row>
    <row r="7" spans="1:20" x14ac:dyDescent="0.55000000000000004">
      <c r="A7" s="9" t="str">
        <v>SK</v>
      </c>
      <c r="B7" s="6"/>
      <c r="D7" s="9" t="str">
        <v>Nope.</v>
      </c>
      <c r="E7" s="6"/>
      <c r="H7" s="27">
        <v>0</v>
      </c>
      <c r="I7" s="6"/>
      <c r="L7" s="24" t="str">
        <v>Profit</v>
      </c>
      <c r="M7" s="6"/>
      <c r="P7" s="21" t="str">
        <v/>
      </c>
    </row>
    <row r="8" spans="1:20" x14ac:dyDescent="0.55000000000000004">
      <c r="A8" s="9" t="str">
        <v>QC</v>
      </c>
      <c r="B8" s="6"/>
      <c r="D8" s="9" t="str">
        <v>Quebec!</v>
      </c>
      <c r="E8" s="6"/>
      <c r="H8" s="27">
        <v>91000</v>
      </c>
      <c r="I8" s="6"/>
      <c r="L8" s="24" t="str">
        <v>Profit</v>
      </c>
      <c r="M8" s="6"/>
      <c r="P8" s="21">
        <v>5.4945054945054944E-2</v>
      </c>
    </row>
    <row r="9" spans="1:20" x14ac:dyDescent="0.55000000000000004">
      <c r="A9" s="9" t="str">
        <v>MB</v>
      </c>
      <c r="B9" s="6"/>
      <c r="D9" s="9" t="str">
        <v>Nope.</v>
      </c>
      <c r="E9" s="6"/>
      <c r="H9" s="27">
        <v>0</v>
      </c>
      <c r="I9" s="6"/>
      <c r="L9" s="24" t="str">
        <v>Profit</v>
      </c>
      <c r="M9" s="6"/>
      <c r="P9" s="21" t="str">
        <v/>
      </c>
    </row>
    <row r="10" spans="1:20" x14ac:dyDescent="0.55000000000000004">
      <c r="A10" s="9" t="str">
        <v>ON</v>
      </c>
      <c r="B10" s="6"/>
      <c r="D10" s="9" t="str">
        <v>Nope.</v>
      </c>
      <c r="E10" s="6"/>
      <c r="H10" s="27">
        <v>0</v>
      </c>
      <c r="I10" s="6"/>
      <c r="L10" s="24" t="str">
        <v>Profit</v>
      </c>
      <c r="M10" s="6"/>
      <c r="P10" s="21" t="str">
        <v/>
      </c>
    </row>
    <row r="11" spans="1:20" x14ac:dyDescent="0.55000000000000004">
      <c r="A11" s="9" t="str">
        <v>QC</v>
      </c>
      <c r="B11" s="6"/>
      <c r="D11" s="9" t="str">
        <v>Quebec!</v>
      </c>
      <c r="E11" s="6"/>
      <c r="H11" s="27">
        <v>9549000</v>
      </c>
      <c r="I11" s="6"/>
      <c r="L11" s="24" t="str">
        <v>Profit</v>
      </c>
      <c r="M11" s="6"/>
      <c r="P11" s="21">
        <v>0.16420567598701435</v>
      </c>
    </row>
    <row r="12" spans="1:20" x14ac:dyDescent="0.55000000000000004">
      <c r="A12" s="9" t="str">
        <v>AB</v>
      </c>
      <c r="B12" s="6"/>
      <c r="D12" s="9" t="str">
        <v>Nope.</v>
      </c>
      <c r="E12" s="6"/>
      <c r="H12" s="27">
        <v>0</v>
      </c>
      <c r="I12" s="6"/>
      <c r="L12" s="24" t="str">
        <v>Loss</v>
      </c>
      <c r="M12" s="6"/>
      <c r="P12" s="21" t="str">
        <v/>
      </c>
    </row>
    <row r="13" spans="1:20" x14ac:dyDescent="0.55000000000000004">
      <c r="A13" s="9" t="str">
        <v>BC</v>
      </c>
      <c r="B13" s="6"/>
      <c r="D13" s="9" t="str">
        <v>Nope.</v>
      </c>
      <c r="E13" s="6"/>
      <c r="H13" s="27">
        <v>0</v>
      </c>
      <c r="I13" s="6"/>
      <c r="L13" s="24" t="str">
        <v>Profit</v>
      </c>
      <c r="M13" s="6"/>
      <c r="P13" s="21" t="str">
        <v/>
      </c>
    </row>
    <row r="14" spans="1:20" x14ac:dyDescent="0.55000000000000004">
      <c r="A14" s="9" t="str">
        <v>BC</v>
      </c>
      <c r="B14" s="6"/>
      <c r="D14" s="9" t="str">
        <v>Nope.</v>
      </c>
      <c r="E14" s="6"/>
      <c r="H14" s="27">
        <v>0</v>
      </c>
      <c r="I14" s="6"/>
      <c r="L14" s="24" t="str">
        <v>Loss</v>
      </c>
      <c r="M14" s="6"/>
      <c r="P14" s="21" t="str">
        <v/>
      </c>
    </row>
    <row r="15" spans="1:20" x14ac:dyDescent="0.55000000000000004">
      <c r="A15" s="9" t="str">
        <v>ON</v>
      </c>
      <c r="B15" s="6"/>
      <c r="D15" s="9" t="str">
        <v>Nope.</v>
      </c>
      <c r="E15" s="6"/>
      <c r="H15" s="27">
        <v>0</v>
      </c>
      <c r="I15" s="6"/>
      <c r="L15" s="24" t="str">
        <v>Profit</v>
      </c>
      <c r="M15" s="6"/>
      <c r="P15" s="21" t="str">
        <v/>
      </c>
    </row>
    <row r="16" spans="1:20" x14ac:dyDescent="0.55000000000000004">
      <c r="A16" s="9" t="str">
        <v>ON</v>
      </c>
      <c r="B16" s="6"/>
      <c r="D16" s="9" t="str">
        <v>Nope.</v>
      </c>
      <c r="E16" s="6"/>
      <c r="H16" s="27">
        <v>0</v>
      </c>
      <c r="I16" s="6"/>
      <c r="L16" s="24" t="str">
        <v>Loss</v>
      </c>
      <c r="M16" s="6"/>
      <c r="P16" s="21" t="str">
        <v/>
      </c>
    </row>
    <row r="17" spans="1:16" x14ac:dyDescent="0.55000000000000004">
      <c r="A17" s="9" t="str">
        <v>SK</v>
      </c>
      <c r="B17" s="6"/>
      <c r="D17" s="9" t="str">
        <v>Nope.</v>
      </c>
      <c r="E17" s="6"/>
      <c r="H17" s="27">
        <v>0</v>
      </c>
      <c r="I17" s="6"/>
      <c r="L17" s="24" t="str">
        <v>Loss</v>
      </c>
      <c r="M17" s="6"/>
      <c r="P17" s="21" t="str">
        <v/>
      </c>
    </row>
    <row r="18" spans="1:16" x14ac:dyDescent="0.55000000000000004">
      <c r="A18" s="9" t="str">
        <v>ON</v>
      </c>
      <c r="B18" s="6"/>
      <c r="D18" s="9" t="str">
        <v>Nope.</v>
      </c>
      <c r="E18" s="6"/>
      <c r="H18" s="27">
        <v>0</v>
      </c>
      <c r="I18" s="6"/>
      <c r="L18" s="24" t="str">
        <v>Profit</v>
      </c>
      <c r="M18" s="6"/>
      <c r="P18" s="21" t="str">
        <v/>
      </c>
    </row>
    <row r="19" spans="1:16" x14ac:dyDescent="0.55000000000000004">
      <c r="A19" s="9" t="str">
        <v>QC</v>
      </c>
      <c r="B19" s="6"/>
      <c r="D19" s="9" t="str">
        <v>Quebec!</v>
      </c>
      <c r="E19" s="6"/>
      <c r="H19" s="27">
        <v>96000</v>
      </c>
      <c r="I19" s="6"/>
      <c r="L19" s="24" t="str">
        <v>Profit</v>
      </c>
      <c r="M19" s="6"/>
      <c r="P19" s="21">
        <v>0.35416666666666669</v>
      </c>
    </row>
    <row r="20" spans="1:16" x14ac:dyDescent="0.55000000000000004">
      <c r="A20" s="9" t="str">
        <v>QC</v>
      </c>
      <c r="B20" s="6"/>
      <c r="D20" s="9" t="str">
        <v>Quebec!</v>
      </c>
      <c r="E20" s="6"/>
      <c r="H20" s="27">
        <v>613000</v>
      </c>
      <c r="I20" s="6"/>
      <c r="L20" s="24" t="str">
        <v>Profit</v>
      </c>
      <c r="M20" s="6"/>
      <c r="P20" s="21">
        <v>7.01468189233279E-2</v>
      </c>
    </row>
    <row r="21" spans="1:16" x14ac:dyDescent="0.55000000000000004">
      <c r="A21" s="9" t="str">
        <v>QC</v>
      </c>
      <c r="B21" s="6"/>
      <c r="D21" s="9" t="str">
        <v>Quebec!</v>
      </c>
      <c r="E21" s="6"/>
      <c r="H21" s="27">
        <v>1212000</v>
      </c>
      <c r="I21" s="6"/>
      <c r="L21" s="24" t="str">
        <v>Loss</v>
      </c>
      <c r="M21" s="6"/>
      <c r="P21" s="21" t="str">
        <v/>
      </c>
    </row>
    <row r="22" spans="1:16" x14ac:dyDescent="0.55000000000000004">
      <c r="A22" s="9" t="str">
        <v>ON</v>
      </c>
      <c r="B22" s="6"/>
      <c r="D22" s="9" t="str">
        <v>Nope.</v>
      </c>
      <c r="E22" s="6"/>
      <c r="H22" s="27">
        <v>0</v>
      </c>
      <c r="I22" s="6"/>
      <c r="L22" s="24" t="str">
        <v>Profit</v>
      </c>
      <c r="M22" s="6"/>
      <c r="P22" s="21" t="str">
        <v/>
      </c>
    </row>
    <row r="23" spans="1:16" x14ac:dyDescent="0.55000000000000004">
      <c r="A23" s="9" t="str">
        <v>QC</v>
      </c>
      <c r="B23" s="6"/>
      <c r="D23" s="9" t="str">
        <v>Quebec!</v>
      </c>
      <c r="E23" s="6"/>
      <c r="H23" s="27">
        <v>181206000</v>
      </c>
      <c r="I23" s="6"/>
      <c r="L23" s="24" t="str">
        <v>Profit</v>
      </c>
      <c r="M23" s="6"/>
      <c r="P23" s="21">
        <v>9.155325982583358E-2</v>
      </c>
    </row>
    <row r="24" spans="1:16" x14ac:dyDescent="0.55000000000000004">
      <c r="A24" s="9" t="str">
        <v>ON</v>
      </c>
      <c r="B24" s="6"/>
      <c r="D24" s="9" t="str">
        <v>Nope.</v>
      </c>
      <c r="E24" s="6"/>
      <c r="H24" s="27">
        <v>0</v>
      </c>
      <c r="I24" s="6"/>
      <c r="L24" s="24" t="str">
        <v>Profit</v>
      </c>
      <c r="M24" s="6"/>
      <c r="P24" s="21" t="str">
        <v/>
      </c>
    </row>
    <row r="25" spans="1:16" x14ac:dyDescent="0.55000000000000004">
      <c r="A25" s="9" t="str">
        <v>BC</v>
      </c>
      <c r="B25" s="6"/>
      <c r="D25" s="9" t="str">
        <v>Nope.</v>
      </c>
      <c r="E25" s="6"/>
      <c r="H25" s="27">
        <v>0</v>
      </c>
      <c r="I25" s="6"/>
      <c r="L25" s="24" t="str">
        <v>Profit</v>
      </c>
      <c r="M25" s="6"/>
      <c r="P25" s="21" t="str">
        <v/>
      </c>
    </row>
    <row r="26" spans="1:16" x14ac:dyDescent="0.55000000000000004">
      <c r="A26" s="9" t="str">
        <v>ON</v>
      </c>
      <c r="B26" s="6"/>
      <c r="D26" s="9" t="str">
        <v>Nope.</v>
      </c>
      <c r="E26" s="6"/>
      <c r="H26" s="27">
        <v>0</v>
      </c>
      <c r="I26" s="6"/>
      <c r="L26" s="24" t="str">
        <v>Loss</v>
      </c>
      <c r="M26" s="6"/>
      <c r="P26" s="21" t="str">
        <v/>
      </c>
    </row>
    <row r="27" spans="1:16" x14ac:dyDescent="0.55000000000000004">
      <c r="A27" s="10" t="str">
        <v>MB</v>
      </c>
      <c r="B27" s="6"/>
      <c r="D27" s="10" t="str">
        <v>Nope.</v>
      </c>
      <c r="E27" s="6"/>
      <c r="H27" s="28">
        <v>0</v>
      </c>
      <c r="I27" s="6"/>
      <c r="L27" s="25" t="str">
        <v>Profit</v>
      </c>
      <c r="M27" s="6"/>
      <c r="P27" s="22" t="str">
        <v/>
      </c>
    </row>
  </sheetData>
  <mergeCells count="5">
    <mergeCell ref="P1:T1"/>
    <mergeCell ref="D1:F1"/>
    <mergeCell ref="H1:J1"/>
    <mergeCell ref="L1:N1"/>
    <mergeCell ref="A1:B1"/>
  </mergeCells>
  <conditionalFormatting sqref="H2:I27">
    <cfRule type="cellIs" dxfId="26" priority="18" operator="equal">
      <formula>0</formula>
    </cfRule>
  </conditionalFormatting>
  <conditionalFormatting sqref="M2:M27">
    <cfRule type="cellIs" dxfId="25" priority="12" operator="equal">
      <formula>0</formula>
    </cfRule>
    <cfRule type="cellIs" dxfId="24" priority="13" operator="equal">
      <formula>1</formula>
    </cfRule>
  </conditionalFormatting>
  <conditionalFormatting sqref="D2:E27">
    <cfRule type="cellIs" dxfId="23" priority="6" operator="equal">
      <formula>"Nope."</formula>
    </cfRule>
    <cfRule type="cellIs" dxfId="22" priority="7" operator="equal">
      <formula>"Quebec!"</formula>
    </cfRule>
  </conditionalFormatting>
  <conditionalFormatting sqref="P2:P27">
    <cfRule type="cellIs" dxfId="21" priority="4" operator="equal">
      <formula>0</formula>
    </cfRule>
    <cfRule type="cellIs" dxfId="20" priority="5" operator="equal">
      <formula>1</formula>
    </cfRule>
  </conditionalFormatting>
  <conditionalFormatting sqref="L2:L27">
    <cfRule type="cellIs" dxfId="19" priority="3" operator="equal">
      <formula>"Loss"</formula>
    </cfRule>
  </conditionalFormatting>
  <conditionalFormatting sqref="A2:B27">
    <cfRule type="cellIs" dxfId="18" priority="1" operator="equal">
      <formula>"Nope."</formula>
    </cfRule>
    <cfRule type="cellIs" dxfId="17" priority="2" operator="equal">
      <formula>"Quebec!"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pane xSplit="2" topLeftCell="C1" activePane="topRight" state="frozen"/>
      <selection pane="topRight" activeCell="D2" sqref="D2"/>
    </sheetView>
  </sheetViews>
  <sheetFormatPr defaultColWidth="10.94140625" defaultRowHeight="15.7" x14ac:dyDescent="0.55000000000000004"/>
  <cols>
    <col min="1" max="2" width="10.94140625" customWidth="1"/>
    <col min="3" max="3" width="4.94140625" customWidth="1"/>
    <col min="4" max="5" width="10.94140625" customWidth="1"/>
    <col min="6" max="6" width="4.94140625" customWidth="1"/>
    <col min="7" max="8" width="10.94140625" customWidth="1"/>
    <col min="9" max="9" width="4.94140625" customWidth="1"/>
    <col min="10" max="11" width="10.94140625" customWidth="1"/>
    <col min="12" max="12" width="4.94140625" customWidth="1"/>
    <col min="13" max="14" width="10.94140625" customWidth="1"/>
    <col min="15" max="15" width="4.94140625" customWidth="1"/>
    <col min="16" max="17" width="10.94140625" customWidth="1"/>
    <col min="18" max="18" width="4.94140625" customWidth="1"/>
    <col min="19" max="19" width="10.94140625" customWidth="1"/>
    <col min="21" max="21" width="4.94140625" customWidth="1"/>
    <col min="24" max="24" width="4.94140625" customWidth="1"/>
  </cols>
  <sheetData>
    <row r="1" spans="1:26" s="19" customFormat="1" ht="31.35" customHeight="1" x14ac:dyDescent="0.55000000000000004">
      <c r="A1" s="18" t="str">
        <f ca="1">_xlfn.FORMULATEXT(A2)</f>
        <v>{=Data[Rev]}</v>
      </c>
      <c r="D1" s="18" t="str">
        <f ca="1">_xlfn.FORMULATEXT(D2)</f>
        <v>{=Data[Rev]&gt;10^6}</v>
      </c>
      <c r="G1" s="18" t="str">
        <f ca="1">_xlfn.FORMULATEXT(G2)</f>
        <v>{=--(Data[Rev]&gt;10^6)}</v>
      </c>
      <c r="J1" s="89" t="str">
        <f ca="1">_xlfn.FORMULATEXT(J2)</f>
        <v>{=(Data[Rev]&gt;10^6)*(Data[Name]="Dingo")&lt;&gt;0}</v>
      </c>
      <c r="K1" s="89"/>
      <c r="M1" s="89" t="str">
        <f ca="1">_xlfn.FORMULATEXT(M2)</f>
        <v>{=(Data[Rev]&gt;10^6)+(Data[Rev]&lt;10^5)&lt;&gt;0}</v>
      </c>
      <c r="N1" s="89"/>
      <c r="P1" s="18" t="str">
        <f ca="1">_xlfn.FORMULATEXT(P2)</f>
        <v>{=(Data[Rev]&lt;10^5)&lt;&gt;0}</v>
      </c>
      <c r="S1" s="18" t="str">
        <f ca="1">_xlfn.FORMULATEXT(S2)</f>
        <v>{=--(Data[Rev]&lt;10^5)&lt;&gt;0}</v>
      </c>
      <c r="V1" s="18" t="str">
        <f ca="1">_xlfn.FORMULATEXT(V2)</f>
        <v>{=SEARCH("a",Data[Name])}</v>
      </c>
      <c r="Y1" s="89" t="str">
        <f ca="1">SUBSTITUTE(_xlfn.FORMULATEXT(Y2),",D",", D")</f>
        <v>{=ISERROR(SEARCH("A", Data[Name]))=FALSE}</v>
      </c>
      <c r="Z1" s="89"/>
    </row>
    <row r="2" spans="1:26" x14ac:dyDescent="0.55000000000000004">
      <c r="A2" s="11">
        <f t="array" ref="A2:A27">Data[Rev]</f>
        <v>28264000</v>
      </c>
      <c r="D2" s="8" t="b">
        <f t="array" ref="D2:D27">Data[Rev]&gt;10^6</f>
        <v>1</v>
      </c>
      <c r="G2" s="8">
        <f t="array" ref="G2:G27">--(Data[Rev]&gt;10^6)</f>
        <v>1</v>
      </c>
      <c r="J2" s="8" t="b">
        <f t="array" ref="J2:J27">(Data[Rev]&gt;10^6)*(Data[Name]="Dingo")&lt;&gt;0</f>
        <v>0</v>
      </c>
      <c r="M2" s="8" t="b">
        <f t="array" ref="M2:M27">(Data[Rev]&gt;10^6)+(Data[Rev]&lt;10^5)&lt;&gt;0</f>
        <v>1</v>
      </c>
      <c r="P2" s="8" t="b">
        <f t="array" ref="P2:P27">(Data[Rev]&lt;10^5)&lt;&gt;0</f>
        <v>1</v>
      </c>
      <c r="S2" s="8" t="b">
        <f t="array" ref="S2:S27">--(Data[Rev]&lt;10^5)&lt;&gt;0</f>
        <v>0</v>
      </c>
      <c r="V2" s="23">
        <f t="array" ref="V2:V27">SEARCH("a",Data[Name])</f>
        <v>1</v>
      </c>
      <c r="Y2" s="8" t="b">
        <f t="array" ref="Y2:Y27">ISERROR(SEARCH("A",Data[Name]))=FALSE</f>
        <v>1</v>
      </c>
    </row>
    <row r="3" spans="1:26" x14ac:dyDescent="0.55000000000000004">
      <c r="A3" s="12">
        <v>129000</v>
      </c>
      <c r="D3" s="9" t="b">
        <v>0</v>
      </c>
      <c r="G3" s="9">
        <v>0</v>
      </c>
      <c r="J3" s="9" t="b">
        <v>0</v>
      </c>
      <c r="M3" s="9" t="b">
        <v>0</v>
      </c>
      <c r="P3" s="9" t="b">
        <v>1</v>
      </c>
      <c r="S3" s="9" t="b">
        <v>0</v>
      </c>
      <c r="V3" s="24" t="e">
        <v>#VALUE!</v>
      </c>
      <c r="Y3" s="9" t="b">
        <v>0</v>
      </c>
    </row>
    <row r="4" spans="1:26" x14ac:dyDescent="0.55000000000000004">
      <c r="A4" s="12">
        <v>145000</v>
      </c>
      <c r="D4" s="9" t="b">
        <v>0</v>
      </c>
      <c r="G4" s="9">
        <v>0</v>
      </c>
      <c r="J4" s="9" t="b">
        <v>0</v>
      </c>
      <c r="M4" s="9" t="b">
        <v>0</v>
      </c>
      <c r="P4" s="9" t="b">
        <v>1</v>
      </c>
      <c r="S4" s="9" t="b">
        <v>0</v>
      </c>
      <c r="V4" s="24">
        <v>2</v>
      </c>
      <c r="Y4" s="9" t="b">
        <v>1</v>
      </c>
    </row>
    <row r="5" spans="1:26" x14ac:dyDescent="0.55000000000000004">
      <c r="A5" s="12">
        <v>27402000</v>
      </c>
      <c r="D5" s="9" t="b">
        <v>1</v>
      </c>
      <c r="G5" s="9">
        <v>1</v>
      </c>
      <c r="J5" s="9" t="b">
        <v>1</v>
      </c>
      <c r="M5" s="9" t="b">
        <v>1</v>
      </c>
      <c r="P5" s="9" t="b">
        <v>1</v>
      </c>
      <c r="S5" s="9" t="b">
        <v>0</v>
      </c>
      <c r="V5" s="24" t="e">
        <v>#VALUE!</v>
      </c>
      <c r="Y5" s="9" t="b">
        <v>0</v>
      </c>
    </row>
    <row r="6" spans="1:26" x14ac:dyDescent="0.55000000000000004">
      <c r="A6" s="12">
        <v>148000</v>
      </c>
      <c r="D6" s="9" t="b">
        <v>0</v>
      </c>
      <c r="G6" s="9">
        <v>0</v>
      </c>
      <c r="J6" s="9" t="b">
        <v>0</v>
      </c>
      <c r="M6" s="9" t="b">
        <v>0</v>
      </c>
      <c r="P6" s="9" t="b">
        <v>1</v>
      </c>
      <c r="S6" s="9" t="b">
        <v>0</v>
      </c>
      <c r="V6" s="24">
        <v>6</v>
      </c>
      <c r="Y6" s="9" t="b">
        <v>1</v>
      </c>
    </row>
    <row r="7" spans="1:26" x14ac:dyDescent="0.55000000000000004">
      <c r="A7" s="12">
        <v>74000</v>
      </c>
      <c r="D7" s="9" t="b">
        <v>0</v>
      </c>
      <c r="G7" s="9">
        <v>0</v>
      </c>
      <c r="J7" s="9" t="b">
        <v>0</v>
      </c>
      <c r="M7" s="9" t="b">
        <v>1</v>
      </c>
      <c r="P7" s="9" t="b">
        <v>1</v>
      </c>
      <c r="S7" s="9" t="b">
        <v>1</v>
      </c>
      <c r="V7" s="24" t="e">
        <v>#VALUE!</v>
      </c>
      <c r="Y7" s="9" t="b">
        <v>0</v>
      </c>
    </row>
    <row r="8" spans="1:26" x14ac:dyDescent="0.55000000000000004">
      <c r="A8" s="12">
        <v>91000</v>
      </c>
      <c r="D8" s="9" t="b">
        <v>0</v>
      </c>
      <c r="G8" s="9">
        <v>0</v>
      </c>
      <c r="J8" s="9" t="b">
        <v>0</v>
      </c>
      <c r="M8" s="9" t="b">
        <v>1</v>
      </c>
      <c r="P8" s="9" t="b">
        <v>1</v>
      </c>
      <c r="S8" s="9" t="b">
        <v>1</v>
      </c>
      <c r="V8" s="24">
        <v>4</v>
      </c>
      <c r="Y8" s="9" t="b">
        <v>1</v>
      </c>
    </row>
    <row r="9" spans="1:26" x14ac:dyDescent="0.55000000000000004">
      <c r="A9" s="12">
        <v>124000</v>
      </c>
      <c r="D9" s="9" t="b">
        <v>0</v>
      </c>
      <c r="G9" s="9">
        <v>0</v>
      </c>
      <c r="J9" s="9" t="b">
        <v>0</v>
      </c>
      <c r="M9" s="9" t="b">
        <v>0</v>
      </c>
      <c r="P9" s="9" t="b">
        <v>1</v>
      </c>
      <c r="S9" s="9" t="b">
        <v>0</v>
      </c>
      <c r="V9" s="24" t="e">
        <v>#VALUE!</v>
      </c>
      <c r="Y9" s="9" t="b">
        <v>0</v>
      </c>
    </row>
    <row r="10" spans="1:26" x14ac:dyDescent="0.55000000000000004">
      <c r="A10" s="12">
        <v>5636000</v>
      </c>
      <c r="D10" s="9" t="b">
        <v>1</v>
      </c>
      <c r="G10" s="9">
        <v>1</v>
      </c>
      <c r="J10" s="9" t="b">
        <v>0</v>
      </c>
      <c r="M10" s="9" t="b">
        <v>1</v>
      </c>
      <c r="P10" s="9" t="b">
        <v>1</v>
      </c>
      <c r="S10" s="9" t="b">
        <v>0</v>
      </c>
      <c r="V10" s="24">
        <v>4</v>
      </c>
      <c r="Y10" s="9" t="b">
        <v>1</v>
      </c>
    </row>
    <row r="11" spans="1:26" x14ac:dyDescent="0.55000000000000004">
      <c r="A11" s="12">
        <v>9549000</v>
      </c>
      <c r="D11" s="9" t="b">
        <v>1</v>
      </c>
      <c r="G11" s="9">
        <v>1</v>
      </c>
      <c r="J11" s="9" t="b">
        <v>0</v>
      </c>
      <c r="M11" s="9" t="b">
        <v>1</v>
      </c>
      <c r="P11" s="9" t="b">
        <v>1</v>
      </c>
      <c r="S11" s="9" t="b">
        <v>0</v>
      </c>
      <c r="V11" s="24">
        <v>2</v>
      </c>
      <c r="Y11" s="9" t="b">
        <v>1</v>
      </c>
    </row>
    <row r="12" spans="1:26" x14ac:dyDescent="0.55000000000000004">
      <c r="A12" s="12">
        <v>283000</v>
      </c>
      <c r="D12" s="9" t="b">
        <v>0</v>
      </c>
      <c r="G12" s="9">
        <v>0</v>
      </c>
      <c r="J12" s="9" t="b">
        <v>0</v>
      </c>
      <c r="M12" s="9" t="b">
        <v>0</v>
      </c>
      <c r="P12" s="9" t="b">
        <v>1</v>
      </c>
      <c r="S12" s="9" t="b">
        <v>0</v>
      </c>
      <c r="V12" s="24">
        <v>2</v>
      </c>
      <c r="Y12" s="9" t="b">
        <v>1</v>
      </c>
    </row>
    <row r="13" spans="1:26" x14ac:dyDescent="0.55000000000000004">
      <c r="A13" s="12">
        <v>11167000</v>
      </c>
      <c r="D13" s="9" t="b">
        <v>1</v>
      </c>
      <c r="G13" s="9">
        <v>1</v>
      </c>
      <c r="J13" s="9" t="b">
        <v>0</v>
      </c>
      <c r="M13" s="9" t="b">
        <v>1</v>
      </c>
      <c r="P13" s="9" t="b">
        <v>1</v>
      </c>
      <c r="S13" s="9" t="b">
        <v>0</v>
      </c>
      <c r="V13" s="24">
        <v>3</v>
      </c>
      <c r="Y13" s="9" t="b">
        <v>1</v>
      </c>
    </row>
    <row r="14" spans="1:26" x14ac:dyDescent="0.55000000000000004">
      <c r="A14" s="12">
        <v>90000</v>
      </c>
      <c r="D14" s="9" t="b">
        <v>0</v>
      </c>
      <c r="G14" s="9">
        <v>0</v>
      </c>
      <c r="J14" s="9" t="b">
        <v>0</v>
      </c>
      <c r="M14" s="9" t="b">
        <v>1</v>
      </c>
      <c r="P14" s="9" t="b">
        <v>1</v>
      </c>
      <c r="S14" s="9" t="b">
        <v>1</v>
      </c>
      <c r="V14" s="24" t="e">
        <v>#VALUE!</v>
      </c>
      <c r="Y14" s="9" t="b">
        <v>0</v>
      </c>
    </row>
    <row r="15" spans="1:26" x14ac:dyDescent="0.55000000000000004">
      <c r="A15" s="12">
        <v>115687000</v>
      </c>
      <c r="D15" s="9" t="b">
        <v>1</v>
      </c>
      <c r="G15" s="9">
        <v>1</v>
      </c>
      <c r="J15" s="9" t="b">
        <v>0</v>
      </c>
      <c r="M15" s="9" t="b">
        <v>1</v>
      </c>
      <c r="P15" s="9" t="b">
        <v>1</v>
      </c>
      <c r="S15" s="9" t="b">
        <v>0</v>
      </c>
      <c r="V15" s="24">
        <v>2</v>
      </c>
      <c r="Y15" s="9" t="b">
        <v>1</v>
      </c>
    </row>
    <row r="16" spans="1:26" x14ac:dyDescent="0.55000000000000004">
      <c r="A16" s="12">
        <v>145000</v>
      </c>
      <c r="D16" s="9" t="b">
        <v>0</v>
      </c>
      <c r="G16" s="9">
        <v>0</v>
      </c>
      <c r="J16" s="9" t="b">
        <v>0</v>
      </c>
      <c r="M16" s="9" t="b">
        <v>0</v>
      </c>
      <c r="P16" s="9" t="b">
        <v>1</v>
      </c>
      <c r="S16" s="9" t="b">
        <v>0</v>
      </c>
      <c r="V16" s="24" t="e">
        <v>#VALUE!</v>
      </c>
      <c r="Y16" s="9" t="b">
        <v>0</v>
      </c>
    </row>
    <row r="17" spans="1:25" x14ac:dyDescent="0.55000000000000004">
      <c r="A17" s="12">
        <v>114000</v>
      </c>
      <c r="D17" s="9" t="b">
        <v>0</v>
      </c>
      <c r="G17" s="9">
        <v>0</v>
      </c>
      <c r="J17" s="9" t="b">
        <v>0</v>
      </c>
      <c r="M17" s="9" t="b">
        <v>0</v>
      </c>
      <c r="P17" s="9" t="b">
        <v>1</v>
      </c>
      <c r="S17" s="9" t="b">
        <v>0</v>
      </c>
      <c r="V17" s="24" t="e">
        <v>#VALUE!</v>
      </c>
      <c r="Y17" s="9" t="b">
        <v>0</v>
      </c>
    </row>
    <row r="18" spans="1:25" x14ac:dyDescent="0.55000000000000004">
      <c r="A18" s="12">
        <v>13002000</v>
      </c>
      <c r="D18" s="9" t="b">
        <v>1</v>
      </c>
      <c r="G18" s="9">
        <v>1</v>
      </c>
      <c r="J18" s="9" t="b">
        <v>0</v>
      </c>
      <c r="M18" s="9" t="b">
        <v>1</v>
      </c>
      <c r="P18" s="9" t="b">
        <v>1</v>
      </c>
      <c r="S18" s="9" t="b">
        <v>0</v>
      </c>
      <c r="V18" s="24">
        <v>3</v>
      </c>
      <c r="Y18" s="9" t="b">
        <v>1</v>
      </c>
    </row>
    <row r="19" spans="1:25" x14ac:dyDescent="0.55000000000000004">
      <c r="A19" s="12">
        <v>96000</v>
      </c>
      <c r="D19" s="9" t="b">
        <v>0</v>
      </c>
      <c r="G19" s="9">
        <v>0</v>
      </c>
      <c r="J19" s="9" t="b">
        <v>0</v>
      </c>
      <c r="M19" s="9" t="b">
        <v>1</v>
      </c>
      <c r="P19" s="9" t="b">
        <v>1</v>
      </c>
      <c r="S19" s="9" t="b">
        <v>1</v>
      </c>
      <c r="V19" s="24">
        <v>2</v>
      </c>
      <c r="Y19" s="9" t="b">
        <v>1</v>
      </c>
    </row>
    <row r="20" spans="1:25" x14ac:dyDescent="0.55000000000000004">
      <c r="A20" s="12">
        <v>613000</v>
      </c>
      <c r="D20" s="9" t="b">
        <v>0</v>
      </c>
      <c r="G20" s="9">
        <v>0</v>
      </c>
      <c r="J20" s="9" t="b">
        <v>0</v>
      </c>
      <c r="M20" s="9" t="b">
        <v>0</v>
      </c>
      <c r="P20" s="9" t="b">
        <v>1</v>
      </c>
      <c r="S20" s="9" t="b">
        <v>0</v>
      </c>
      <c r="V20" s="24">
        <v>3</v>
      </c>
      <c r="Y20" s="9" t="b">
        <v>1</v>
      </c>
    </row>
    <row r="21" spans="1:25" x14ac:dyDescent="0.55000000000000004">
      <c r="A21" s="12">
        <v>1212000</v>
      </c>
      <c r="D21" s="9" t="b">
        <v>1</v>
      </c>
      <c r="G21" s="9">
        <v>1</v>
      </c>
      <c r="J21" s="9" t="b">
        <v>0</v>
      </c>
      <c r="M21" s="9" t="b">
        <v>1</v>
      </c>
      <c r="P21" s="9" t="b">
        <v>1</v>
      </c>
      <c r="S21" s="9" t="b">
        <v>0</v>
      </c>
      <c r="V21" s="24" t="e">
        <v>#VALUE!</v>
      </c>
      <c r="Y21" s="9" t="b">
        <v>0</v>
      </c>
    </row>
    <row r="22" spans="1:25" x14ac:dyDescent="0.55000000000000004">
      <c r="A22" s="12">
        <v>770156000</v>
      </c>
      <c r="D22" s="9" t="b">
        <v>1</v>
      </c>
      <c r="G22" s="9">
        <v>1</v>
      </c>
      <c r="J22" s="9" t="b">
        <v>0</v>
      </c>
      <c r="M22" s="9" t="b">
        <v>1</v>
      </c>
      <c r="P22" s="9" t="b">
        <v>1</v>
      </c>
      <c r="S22" s="9" t="b">
        <v>0</v>
      </c>
      <c r="V22" s="24" t="e">
        <v>#VALUE!</v>
      </c>
      <c r="Y22" s="9" t="b">
        <v>0</v>
      </c>
    </row>
    <row r="23" spans="1:25" x14ac:dyDescent="0.55000000000000004">
      <c r="A23" s="12">
        <v>181206000</v>
      </c>
      <c r="D23" s="9" t="b">
        <v>1</v>
      </c>
      <c r="G23" s="9">
        <v>1</v>
      </c>
      <c r="J23" s="9" t="b">
        <v>0</v>
      </c>
      <c r="M23" s="9" t="b">
        <v>1</v>
      </c>
      <c r="P23" s="9" t="b">
        <v>1</v>
      </c>
      <c r="S23" s="9" t="b">
        <v>0</v>
      </c>
      <c r="V23" s="24" t="e">
        <v>#VALUE!</v>
      </c>
      <c r="Y23" s="9" t="b">
        <v>0</v>
      </c>
    </row>
    <row r="24" spans="1:25" x14ac:dyDescent="0.55000000000000004">
      <c r="A24" s="12">
        <v>113000</v>
      </c>
      <c r="D24" s="9" t="b">
        <v>0</v>
      </c>
      <c r="G24" s="9">
        <v>0</v>
      </c>
      <c r="J24" s="9" t="b">
        <v>0</v>
      </c>
      <c r="M24" s="9" t="b">
        <v>0</v>
      </c>
      <c r="P24" s="9" t="b">
        <v>1</v>
      </c>
      <c r="S24" s="9" t="b">
        <v>0</v>
      </c>
      <c r="V24" s="24">
        <v>2</v>
      </c>
      <c r="Y24" s="9" t="b">
        <v>1</v>
      </c>
    </row>
    <row r="25" spans="1:25" x14ac:dyDescent="0.55000000000000004">
      <c r="A25" s="12">
        <v>45455000</v>
      </c>
      <c r="D25" s="9" t="b">
        <v>1</v>
      </c>
      <c r="G25" s="9">
        <v>1</v>
      </c>
      <c r="J25" s="9" t="b">
        <v>0</v>
      </c>
      <c r="M25" s="9" t="b">
        <v>1</v>
      </c>
      <c r="P25" s="9" t="b">
        <v>1</v>
      </c>
      <c r="S25" s="9" t="b">
        <v>0</v>
      </c>
      <c r="V25" s="24">
        <v>2</v>
      </c>
      <c r="Y25" s="9" t="b">
        <v>1</v>
      </c>
    </row>
    <row r="26" spans="1:25" x14ac:dyDescent="0.55000000000000004">
      <c r="A26" s="12">
        <v>1137000</v>
      </c>
      <c r="D26" s="9" t="b">
        <v>1</v>
      </c>
      <c r="G26" s="9">
        <v>1</v>
      </c>
      <c r="J26" s="9" t="b">
        <v>0</v>
      </c>
      <c r="M26" s="9" t="b">
        <v>1</v>
      </c>
      <c r="P26" s="9" t="b">
        <v>1</v>
      </c>
      <c r="S26" s="9" t="b">
        <v>0</v>
      </c>
      <c r="V26" s="24">
        <v>2</v>
      </c>
      <c r="Y26" s="9" t="b">
        <v>1</v>
      </c>
    </row>
    <row r="27" spans="1:25" x14ac:dyDescent="0.55000000000000004">
      <c r="A27" s="13">
        <v>87000</v>
      </c>
      <c r="D27" s="10" t="b">
        <v>0</v>
      </c>
      <c r="G27" s="10">
        <v>0</v>
      </c>
      <c r="J27" s="10" t="b">
        <v>0</v>
      </c>
      <c r="M27" s="10" t="b">
        <v>1</v>
      </c>
      <c r="P27" s="10" t="b">
        <v>1</v>
      </c>
      <c r="S27" s="10" t="b">
        <v>1</v>
      </c>
      <c r="V27" s="25">
        <v>5</v>
      </c>
      <c r="Y27" s="10" t="b">
        <v>1</v>
      </c>
    </row>
  </sheetData>
  <mergeCells count="3">
    <mergeCell ref="J1:K1"/>
    <mergeCell ref="M1:N1"/>
    <mergeCell ref="Y1:Z1"/>
  </mergeCells>
  <conditionalFormatting sqref="D2:D27">
    <cfRule type="cellIs" dxfId="16" priority="15" operator="equal">
      <formula>FALSE</formula>
    </cfRule>
    <cfRule type="cellIs" dxfId="15" priority="16" operator="equal">
      <formula>TRUE</formula>
    </cfRule>
  </conditionalFormatting>
  <conditionalFormatting sqref="M2:M27">
    <cfRule type="cellIs" dxfId="14" priority="13" operator="equal">
      <formula>FALSE</formula>
    </cfRule>
    <cfRule type="cellIs" dxfId="13" priority="14" operator="equal">
      <formula>TRUE</formula>
    </cfRule>
  </conditionalFormatting>
  <conditionalFormatting sqref="J2:J27">
    <cfRule type="cellIs" dxfId="12" priority="11" operator="equal">
      <formula>FALSE</formula>
    </cfRule>
    <cfRule type="cellIs" dxfId="11" priority="12" operator="equal">
      <formula>TRUE</formula>
    </cfRule>
  </conditionalFormatting>
  <conditionalFormatting sqref="G2:G27">
    <cfRule type="cellIs" dxfId="10" priority="9" operator="equal">
      <formula>0</formula>
    </cfRule>
    <cfRule type="cellIs" dxfId="9" priority="10" operator="equal">
      <formula>1</formula>
    </cfRule>
  </conditionalFormatting>
  <conditionalFormatting sqref="P2:P27">
    <cfRule type="cellIs" dxfId="8" priority="7" operator="equal">
      <formula>FALSE</formula>
    </cfRule>
    <cfRule type="cellIs" dxfId="7" priority="8" operator="equal">
      <formula>TRUE</formula>
    </cfRule>
  </conditionalFormatting>
  <conditionalFormatting sqref="S2:S27">
    <cfRule type="cellIs" dxfId="6" priority="5" operator="equal">
      <formula>FALSE</formula>
    </cfRule>
    <cfRule type="cellIs" dxfId="5" priority="6" operator="equal">
      <formula>TRUE</formula>
    </cfRule>
  </conditionalFormatting>
  <conditionalFormatting sqref="V2:V27">
    <cfRule type="containsErrors" dxfId="4" priority="17">
      <formula>ISERROR(V2)</formula>
    </cfRule>
  </conditionalFormatting>
  <conditionalFormatting sqref="Y2:Y27">
    <cfRule type="cellIs" dxfId="3" priority="1" operator="equal">
      <formula>FALSE</formula>
    </cfRule>
    <cfRule type="cellIs" dxfId="2" priority="2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opLeftCell="B1" zoomScaleNormal="100" workbookViewId="0">
      <selection activeCell="C2" sqref="C2"/>
    </sheetView>
  </sheetViews>
  <sheetFormatPr defaultColWidth="10.109375" defaultRowHeight="15.7" x14ac:dyDescent="0.55000000000000004"/>
  <cols>
    <col min="1" max="1" width="10.109375" customWidth="1"/>
    <col min="2" max="4" width="8.109375" customWidth="1"/>
  </cols>
  <sheetData>
    <row r="1" spans="1:5" x14ac:dyDescent="0.55000000000000004">
      <c r="B1" s="35" t="s">
        <v>50</v>
      </c>
      <c r="C1" s="35" t="s">
        <v>48</v>
      </c>
      <c r="D1" s="35" t="s">
        <v>49</v>
      </c>
    </row>
    <row r="2" spans="1:5" x14ac:dyDescent="0.55000000000000004">
      <c r="A2" s="90" t="s">
        <v>111</v>
      </c>
      <c r="C2" s="30">
        <f t="array" ref="C2">AVERAGE(IF(Data[Rev]&gt;10^6,Data[Rev],""))</f>
        <v>100822750</v>
      </c>
      <c r="E2" s="5" t="str">
        <f t="array" aca="1" ref="E2" ca="1">_xlfn.CONCAT(IF(ISERROR(_xlfn.FORMULATEXT(B2:D2))=FALSE,_xlfn.FORMULATEXT(B2:D2),""))</f>
        <v>{=AVERAGE(IF(Data[Rev]&gt;10^6,Data[Rev],""))}</v>
      </c>
    </row>
    <row r="3" spans="1:5" x14ac:dyDescent="0.55000000000000004">
      <c r="A3" s="90"/>
      <c r="D3" s="30">
        <f t="array" ref="D3">MEDIAN(IF(Data[Rev]&gt;10^6,Data[Rev],""))</f>
        <v>20202000</v>
      </c>
      <c r="E3" s="5" t="str">
        <f t="array" aca="1" ref="E3" ca="1">_xlfn.CONCAT(IF(ISERROR(_xlfn.FORMULATEXT(B3:D3))=FALSE,_xlfn.FORMULATEXT(B3:D3),""))</f>
        <v>{=MEDIAN(IF(Data[Rev]&gt;10^6,Data[Rev],""))}</v>
      </c>
    </row>
    <row r="4" spans="1:5" x14ac:dyDescent="0.55000000000000004">
      <c r="A4" s="90" t="s">
        <v>101</v>
      </c>
      <c r="B4" s="7">
        <f t="array" ref="B4">SUM(IF(Data[Rev]&gt;10^6,Data[Rev]-Data[Exp],""))/SUM(IF(Data[Rev]&gt;10^6,Data[Rev],""))</f>
        <v>6.2503254473816675E-2</v>
      </c>
      <c r="E4" s="5" t="str">
        <f t="array" aca="1" ref="E4" ca="1">_xlfn.CONCAT(IF(ISERROR(_xlfn.FORMULATEXT(B4:D4))=FALSE,_xlfn.FORMULATEXT(B4:D4),""))</f>
        <v>{=SUM(IF(Data[Rev]&gt;10^6,Data[Rev]-Data[Exp],""))/SUM(IF(Data[Rev]&gt;10^6,Data[Rev],""))}</v>
      </c>
    </row>
    <row r="5" spans="1:5" x14ac:dyDescent="0.55000000000000004">
      <c r="A5" s="90"/>
      <c r="C5" s="7">
        <f t="array" ref="C5">AVERAGE(IF(Data[Rev]&gt;10^6,(Data[Rev]-Data[Exp])/Data[Rev],""))</f>
        <v>6.6855896935530595E-2</v>
      </c>
      <c r="E5" s="5" t="str">
        <f t="array" aca="1" ref="E5" ca="1">_xlfn.CONCAT(IF(ISERROR(_xlfn.FORMULATEXT(B5:D5))=FALSE,_xlfn.FORMULATEXT(B5:D5),""))</f>
        <v>{=AVERAGE(IF(Data[Rev]&gt;10^6,(Data[Rev]-Data[Exp])/Data[Rev],""))}</v>
      </c>
    </row>
    <row r="6" spans="1:5" x14ac:dyDescent="0.55000000000000004">
      <c r="A6" s="90"/>
      <c r="C6" s="4"/>
      <c r="D6" s="7">
        <f t="array" ref="D6">MEDIAN(IF(Data[Rev]&gt;10^6,(Data[Rev]-Data[Exp])/Data[Rev],""))</f>
        <v>6.279286031663546E-2</v>
      </c>
      <c r="E6" s="5" t="str">
        <f t="array" aca="1" ref="E6" ca="1">_xlfn.CONCAT(IF(ISERROR(_xlfn.FORMULATEXT(B6:D6))=FALSE,_xlfn.FORMULATEXT(B6:D6),""))</f>
        <v>{=MEDIAN(IF(Data[Rev]&gt;10^6,(Data[Rev]-Data[Exp])/Data[Rev],""))}</v>
      </c>
    </row>
    <row r="7" spans="1:5" x14ac:dyDescent="0.55000000000000004">
      <c r="A7" s="90" t="s">
        <v>100</v>
      </c>
      <c r="B7" s="7">
        <f t="array" ref="B7">SUM(IF(Data[Rev]&gt;10^6,Data[Rev]*Data[Rev%A]-Data[Exp]*Data[Exp%A],""))/SUM(IF(Data[Rev]&gt;10^6,Data[Rev]*Data[Rev%A],""))</f>
        <v>8.7227217176304744E-2</v>
      </c>
      <c r="E7" s="5" t="str">
        <f t="array" aca="1" ref="E7" ca="1">_xlfn.CONCAT(IF(ISERROR(_xlfn.FORMULATEXT(B7:D7))=FALSE,_xlfn.FORMULATEXT(B7:D7),""))</f>
        <v>{=SUM(IF(Data[Rev]&gt;10^6,Data[Rev]*Data[Rev%A]-Data[Exp]*Data[Exp%A],""))/SUM(IF(Data[Rev]&gt;10^6,Data[Rev]*Data[Rev%A],""))}</v>
      </c>
    </row>
    <row r="8" spans="1:5" x14ac:dyDescent="0.55000000000000004">
      <c r="A8" s="90"/>
      <c r="C8" s="7">
        <f t="array" ref="C8">AVERAGE(IF(Data[Rev]&gt;10^6,(Data[Rev]*Data[Rev%A]-Data[Exp]*Data[Exp%A])/(Data[Rev]*Data[Rev%A]),""))</f>
        <v>9.0693956838262368E-2</v>
      </c>
      <c r="E8" s="5" t="str">
        <f t="array" aca="1" ref="E8" ca="1">_xlfn.CONCAT(IF(ISERROR(_xlfn.FORMULATEXT(B8:D8))=FALSE,_xlfn.FORMULATEXT(B8:D8),""))</f>
        <v>{=AVERAGE(IF(Data[Rev]&gt;10^6,(Data[Rev]*Data[Rev%A]-Data[Exp]*Data[Exp%A])/(Data[Rev]*Data[Rev%A]),""))}</v>
      </c>
    </row>
    <row r="9" spans="1:5" x14ac:dyDescent="0.55000000000000004">
      <c r="A9" s="90"/>
      <c r="C9" s="4"/>
      <c r="D9" s="7">
        <f t="array" ref="D9">MEDIAN(IF(Data[Rev]&gt;10^6,(Data[Rev]*Data[Rev%A]-Data[Exp]*Data[Exp%A])/(Data[Rev]*Data[Exp%A]),""))</f>
        <v>8.5750367069432509E-2</v>
      </c>
      <c r="E9" s="5" t="str">
        <f t="array" aca="1" ref="E9" ca="1">_xlfn.CONCAT(IF(ISERROR(_xlfn.FORMULATEXT(B9:D9))=FALSE,_xlfn.FORMULATEXT(B9:D9),""))</f>
        <v>{=MEDIAN(IF(Data[Rev]&gt;10^6,(Data[Rev]*Data[Rev%A]-Data[Exp]*Data[Exp%A])/(Data[Rev]*Data[Exp%A]),""))}</v>
      </c>
    </row>
    <row r="10" spans="1:5" x14ac:dyDescent="0.55000000000000004">
      <c r="A10" s="90" t="s">
        <v>11</v>
      </c>
      <c r="B10" s="29">
        <f t="array" ref="B10">SUM(IF(Data[Rev]&gt;10^6,Data[Rev]*Data[Happiness],""))/SUM(IF(Data[Rev]&gt;10^6,Data[Rev],""))</f>
        <v>-3.5400409795077664E-2</v>
      </c>
      <c r="E10" s="5" t="str">
        <f t="array" aca="1" ref="E10" ca="1">_xlfn.CONCAT(IF(ISERROR(_xlfn.FORMULATEXT(B10:D10))=FALSE,_xlfn.FORMULATEXT(B10:D10),""))</f>
        <v>{=SUM(IF(Data[Rev]&gt;10^6,Data[Rev]*Data[Happiness],""))/SUM(IF(Data[Rev]&gt;10^6,Data[Rev],""))}</v>
      </c>
    </row>
    <row r="11" spans="1:5" x14ac:dyDescent="0.55000000000000004">
      <c r="A11" s="90"/>
      <c r="C11" s="29">
        <f t="array" ref="C11">AVERAGE(IF(Data[Rev]&gt;10^6,Data[Happiness],""))</f>
        <v>-0.16666666666666666</v>
      </c>
      <c r="E11" s="5" t="str">
        <f t="array" aca="1" ref="E11" ca="1">_xlfn.CONCAT(IF(ISERROR(_xlfn.FORMULATEXT(B11:D11))=FALSE,_xlfn.FORMULATEXT(B11:D11),""))</f>
        <v>{=AVERAGE(IF(Data[Rev]&gt;10^6,Data[Happiness],""))}</v>
      </c>
    </row>
    <row r="12" spans="1:5" x14ac:dyDescent="0.55000000000000004">
      <c r="A12" s="90"/>
      <c r="D12" s="29">
        <f t="array" ref="D12">MEDIAN(IF(Data[Rev]&gt;10^6,Data[Happiness],""))</f>
        <v>0</v>
      </c>
      <c r="E12" s="5" t="str">
        <f t="array" aca="1" ref="E12" ca="1">_xlfn.CONCAT(IF(ISERROR(_xlfn.FORMULATEXT(B12:D12))=FALSE,_xlfn.FORMULATEXT(B12:D12),""))</f>
        <v>{=MEDIAN(IF(Data[Rev]&gt;10^6,Data[Happiness],""))}</v>
      </c>
    </row>
    <row r="13" spans="1:5" x14ac:dyDescent="0.55000000000000004">
      <c r="E13" s="5" t="str">
        <f t="array" aca="1" ref="E13" ca="1">_xlfn.CONCAT(IF(ISERROR(_xlfn.FORMULATEXT(B13:D13))=FALSE,_xlfn.FORMULATEXT(B13:D13),""))</f>
        <v/>
      </c>
    </row>
    <row r="14" spans="1:5" x14ac:dyDescent="0.55000000000000004">
      <c r="E14" s="5" t="str">
        <f t="array" aca="1" ref="E14" ca="1">_xlfn.CONCAT(IF(ISERROR(_xlfn.FORMULATEXT(B14:D14))=FALSE,_xlfn.FORMULATEXT(B14:D14),""))</f>
        <v/>
      </c>
    </row>
    <row r="15" spans="1:5" x14ac:dyDescent="0.55000000000000004">
      <c r="E15" s="5" t="str">
        <f t="array" aca="1" ref="E15" ca="1">_xlfn.CONCAT(IF(ISERROR(_xlfn.FORMULATEXT(B15:D15))=FALSE,_xlfn.FORMULATEXT(B15:D15),""))</f>
        <v/>
      </c>
    </row>
    <row r="16" spans="1:5" x14ac:dyDescent="0.55000000000000004">
      <c r="E16" s="5" t="str">
        <f t="array" aca="1" ref="E16" ca="1">_xlfn.CONCAT(IF(ISERROR(_xlfn.FORMULATEXT(B16:D16))=FALSE,_xlfn.FORMULATEXT(B16:D16),""))</f>
        <v/>
      </c>
    </row>
    <row r="17" spans="1:16384" x14ac:dyDescent="0.55000000000000004">
      <c r="E17" s="5" t="str">
        <f t="array" aca="1" ref="E17" ca="1">_xlfn.CONCAT(IF(ISERROR(_xlfn.FORMULATEXT(B17:D17))=FALSE,_xlfn.FORMULATEXT(B17:D17),""))</f>
        <v/>
      </c>
    </row>
    <row r="18" spans="1:16384" x14ac:dyDescent="0.5500000000000000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spans="1:16384" x14ac:dyDescent="0.55000000000000004">
      <c r="E19" s="5" t="str">
        <f t="array" aca="1" ref="E19" ca="1">_xlfn.CONCAT(IF(ISERROR(_xlfn.FORMULATEXT(B19:D19))=FALSE,_xlfn.FORMULATEXT(B19:D19),""))</f>
        <v/>
      </c>
    </row>
    <row r="20" spans="1:16384" x14ac:dyDescent="0.55000000000000004">
      <c r="E20" s="5" t="str">
        <f t="array" aca="1" ref="E20" ca="1">_xlfn.CONCAT(IF(ISERROR(_xlfn.FORMULATEXT(B20:D20))=FALSE,_xlfn.FORMULATEXT(B20:D20),""))</f>
        <v/>
      </c>
    </row>
  </sheetData>
  <mergeCells count="4">
    <mergeCell ref="A7:A9"/>
    <mergeCell ref="A4:A6"/>
    <mergeCell ref="A2:A3"/>
    <mergeCell ref="A10:A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3" ySplit="1" topLeftCell="D3" activePane="bottomRight" state="frozen"/>
      <selection pane="topRight"/>
      <selection pane="bottomLeft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ht="16" thickBot="1" x14ac:dyDescent="0.6">
      <c r="A3" s="35" t="s">
        <v>53</v>
      </c>
      <c r="B3" s="33" t="s">
        <v>55</v>
      </c>
      <c r="C3" s="35" t="s">
        <v>2</v>
      </c>
    </row>
    <row r="4" spans="1:14" ht="16.350000000000001" thickTop="1" thickBot="1" x14ac:dyDescent="0.6">
      <c r="A4" s="32" t="s">
        <v>54</v>
      </c>
      <c r="B4" t="s">
        <v>56</v>
      </c>
      <c r="C4" s="65">
        <f>MIN(Data[Rev])</f>
        <v>74000</v>
      </c>
      <c r="D4" s="5" t="str">
        <f ca="1">_xlfn.FORMULATEXT(C4)</f>
        <v>=MIN(Data[Rev])</v>
      </c>
    </row>
    <row r="5" spans="1:14" ht="16.350000000000001" thickTop="1" thickBot="1" x14ac:dyDescent="0.6">
      <c r="A5" s="37">
        <v>0.25</v>
      </c>
      <c r="B5" t="s">
        <v>57</v>
      </c>
      <c r="C5" s="65">
        <f>_xlfn.PERCENTILE.EXC(Data[Rev],A5)</f>
        <v>113750</v>
      </c>
      <c r="D5" s="5" t="str">
        <f t="shared" ref="D5:D7" ca="1" si="0">_xlfn.FORMULATEXT(C5)</f>
        <v>=PERCENTILE.EXC(Data[Rev],A5)</v>
      </c>
    </row>
    <row r="6" spans="1:14" ht="16.350000000000001" thickTop="1" thickBot="1" x14ac:dyDescent="0.6">
      <c r="A6" s="37">
        <v>0.5</v>
      </c>
      <c r="B6" t="s">
        <v>58</v>
      </c>
      <c r="C6" s="65">
        <f>_xlfn.PERCENTILE.EXC(Data[Rev],A6)</f>
        <v>448000</v>
      </c>
      <c r="D6" s="5" t="str">
        <f t="shared" ca="1" si="0"/>
        <v>=PERCENTILE.EXC(Data[Rev],A6)</v>
      </c>
    </row>
    <row r="7" spans="1:14" ht="16.350000000000001" thickTop="1" thickBot="1" x14ac:dyDescent="0.6">
      <c r="A7" s="37">
        <v>0.75</v>
      </c>
      <c r="B7" t="s">
        <v>59</v>
      </c>
      <c r="C7" s="65">
        <f>_xlfn.PERCENTILE.EXC(Data[Rev],A7)</f>
        <v>16602000</v>
      </c>
      <c r="D7" s="5" t="str">
        <f t="shared" ca="1" si="0"/>
        <v>=PERCENTILE.EXC(Data[Rev],A7)</v>
      </c>
    </row>
    <row r="8" spans="1:14" ht="16" thickTop="1" x14ac:dyDescent="0.55000000000000004">
      <c r="A8" s="37"/>
      <c r="C8" s="34"/>
      <c r="D8" s="5"/>
    </row>
    <row r="9" spans="1:14" x14ac:dyDescent="0.55000000000000004">
      <c r="A9" s="44" t="s">
        <v>112</v>
      </c>
      <c r="B9" s="86"/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ht="16" thickBot="1" x14ac:dyDescent="0.6">
      <c r="A10" s="36" t="s">
        <v>64</v>
      </c>
      <c r="B10" s="33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ht="16.350000000000001" thickTop="1" thickBot="1" x14ac:dyDescent="0.6">
      <c r="A11" s="85">
        <f>C4</f>
        <v>74000</v>
      </c>
      <c r="B11" s="33" t="s">
        <v>60</v>
      </c>
      <c r="D11" s="66">
        <f t="array" ref="D11">SUM(IF(LOOKUP(Data[Rev],DefineSize[])=DefineSize[[#This Row],[Label]],1,0))</f>
        <v>6</v>
      </c>
      <c r="E11" s="67">
        <f t="array" ref="E11">SUM(IF(LOOKUP(Data[Rev],DefineSize[])=DefineSize[[#This Row],[Label]],Data[Rev],0))</f>
        <v>551000</v>
      </c>
      <c r="F11" s="67">
        <f t="array" ref="F11">SUM(IF(LOOKUP(Data[Rev],DefineSize[])=DefineSize[[#This Row],[Label]],Data[Exp],0))</f>
        <v>447000</v>
      </c>
      <c r="G11" s="68">
        <f t="array" ref="G11">AVERAGE(IF(LOOKUP(Data[Rev],DefineSize[])=DefineSize[[#This Row],[Label]],Data[Rev],""))</f>
        <v>91833.333333333328</v>
      </c>
      <c r="H11" s="68">
        <f t="array" ref="H11">AVERAGE(IF(LOOKUP(Data[Rev],DefineSize[])=DefineSize[[#This Row],[Label]],Data[Exp],""))</f>
        <v>74500</v>
      </c>
      <c r="I11" s="69">
        <f>(E11-F11)/E11</f>
        <v>0.18874773139745918</v>
      </c>
      <c r="J11" s="69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70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69">
        <f t="array" ref="L11">AVERAGE(IF(LOOKUP(Data[Rev],DefineSize[])=DefineSize[[#This Row],[Label]],(Data[Rev]-Data[Exp])/Data[Rev],""))</f>
        <v>0.18278725539749344</v>
      </c>
      <c r="M11" s="70">
        <f t="array" ref="M11">AVERAGE(IF(LOOKUP(Data[Rev],DefineSize[])=DefineSize[[#This Row],[Label]],Data[Happiness],""))</f>
        <v>0.83333333333333337</v>
      </c>
      <c r="N11" s="70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ht="16" thickTop="1" x14ac:dyDescent="0.55000000000000004">
      <c r="A12" s="85">
        <f>C5</f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1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85">
        <f>C6</f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1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85">
        <f>C7</f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1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t="str">
        <f t="array" ref="N14">_xlfn.CONCAT(IF(LOOKUP(Data[Rev],DefineSize[])=DefineSize[[#This Row],[Label]],Data[Name]&amp;", ",""))</f>
        <v xml:space="preserve">Aardvark, Dingo, Narwhal, Urubu, Vertigo, Xantus, </v>
      </c>
    </row>
    <row r="15" spans="1:14" x14ac:dyDescent="0.55000000000000004">
      <c r="A15"/>
    </row>
    <row r="16" spans="1:14" x14ac:dyDescent="0.55000000000000004">
      <c r="A16" s="41" t="s">
        <v>65</v>
      </c>
    </row>
    <row r="17" spans="1:4" x14ac:dyDescent="0.55000000000000004">
      <c r="A17" s="44" t="str">
        <f t="array" ref="A17:A27">TRANSPOSE(D10:N10)</f>
        <v>n</v>
      </c>
      <c r="D17" s="42" t="str">
        <f t="array" aca="1" ref="D17:D27" ca="1">TRANSPOSE(_xlfn.FORMULATEXT(D11:N11))</f>
        <v>{=SUM(IF(LOOKUP(Data[Rev],DefineSize)=DefineSize[@Label],1,0))}</v>
      </c>
    </row>
    <row r="18" spans="1:4" x14ac:dyDescent="0.55000000000000004">
      <c r="A18" s="44" t="str">
        <v>Rev (agg)</v>
      </c>
      <c r="D18" s="5" t="str">
        <f ca="1"/>
        <v>{=SUM(IF(LOOKUP(Data[Rev],DefineSize)=DefineSize[@Label],Data[Rev],0))}</v>
      </c>
    </row>
    <row r="19" spans="1:4" x14ac:dyDescent="0.55000000000000004">
      <c r="A19" s="44" t="str">
        <v>Exp (agg)</v>
      </c>
      <c r="D19" s="5" t="str">
        <f ca="1"/>
        <v>{=SUM(IF(LOOKUP(Data[Rev],DefineSize)=DefineSize[@Label],Data[Exp],0))}</v>
      </c>
    </row>
    <row r="20" spans="1:4" x14ac:dyDescent="0.55000000000000004">
      <c r="A20" s="44" t="str">
        <v>Rev (avg)</v>
      </c>
      <c r="D20" s="5" t="str">
        <f ca="1"/>
        <v>{=AVERAGE(IF(LOOKUP(Data[Rev],DefineSize)=DefineSize[@Label],Data[Rev],""))}</v>
      </c>
    </row>
    <row r="21" spans="1:4" x14ac:dyDescent="0.55000000000000004">
      <c r="A21" s="44" t="str">
        <v>Exp (avg)</v>
      </c>
      <c r="D21" s="5" t="str">
        <f ca="1"/>
        <v>{=AVERAGE(IF(LOOKUP(Data[Rev],DefineSize)=DefineSize[@Label],Data[Exp],""))}</v>
      </c>
    </row>
    <row r="22" spans="1:4" x14ac:dyDescent="0.55000000000000004">
      <c r="A22" s="44" t="str">
        <v>Profit ($)</v>
      </c>
      <c r="D22" s="5" t="str">
        <f ca="1"/>
        <v>=(E11-F11)/E11</v>
      </c>
    </row>
    <row r="23" spans="1:4" x14ac:dyDescent="0.55000000000000004">
      <c r="A23" s="44" t="str">
        <v>Profit ($)</v>
      </c>
      <c r="D23" s="5" t="str">
        <f ca="1"/>
        <v>{=SUM(IF(LOOKUP(Data[Rev],DefineSize)=DefineSize[@Label],Data[Rev]-Data[Exp],0))/SUM(IF(LOOKUP(Data[Rev],DefineSize)=DefineSize[@Label],Data[Rev],0))}</v>
      </c>
    </row>
    <row r="24" spans="1:4" x14ac:dyDescent="0.55000000000000004">
      <c r="A24" s="44" t="str">
        <v>Happy ($)</v>
      </c>
      <c r="D24" s="5" t="str">
        <f ca="1"/>
        <v>{=SUM(IF(LOOKUP(Data[Rev],DefineSize)=DefineSize[@Label],Data[Rev]*Data[Happiness],0))/SUM(IF(LOOKUP(Data[Rev],DefineSize)=DefineSize[@Label],Data[Rev],0))}</v>
      </c>
    </row>
    <row r="25" spans="1:4" x14ac:dyDescent="0.55000000000000004">
      <c r="A25" s="44" t="str">
        <v>Profit (n)</v>
      </c>
      <c r="D25" s="5" t="str">
        <f ca="1"/>
        <v>{=AVERAGE(IF(LOOKUP(Data[Rev],DefineSize)=DefineSize[@Label],(Data[Rev]-Data[Exp])/Data[Rev],""))}</v>
      </c>
    </row>
    <row r="26" spans="1:4" x14ac:dyDescent="0.55000000000000004">
      <c r="A26" s="44" t="str">
        <v>Happy (n)</v>
      </c>
      <c r="D26" s="5" t="str">
        <f ca="1"/>
        <v>{=AVERAGE(IF(LOOKUP(Data[Rev],DefineSize)=DefineSize[@Label],Data[Happiness],""))}</v>
      </c>
    </row>
    <row r="27" spans="1:4" x14ac:dyDescent="0.55000000000000004">
      <c r="A27" s="44" t="str">
        <v>Company list</v>
      </c>
      <c r="D27" s="5" t="str">
        <f ca="1"/>
        <v>{=CONCAT(IF(LOOKUP(Data[Rev],DefineSize)=DefineSize[@Label],Data[Name]&amp;", ",""))}</v>
      </c>
    </row>
  </sheetData>
  <mergeCells count="4">
    <mergeCell ref="E9:F9"/>
    <mergeCell ref="G9:H9"/>
    <mergeCell ref="L9:M9"/>
    <mergeCell ref="I9:K9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pane xSplit="3" ySplit="1" topLeftCell="D16" activePane="bottomRight" state="frozen"/>
      <selection pane="topRight"/>
      <selection pane="bottomLeft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x14ac:dyDescent="0.55000000000000004">
      <c r="A3" s="35" t="s">
        <v>53</v>
      </c>
      <c r="B3" s="33" t="s">
        <v>55</v>
      </c>
      <c r="C3" s="35" t="s">
        <v>2</v>
      </c>
    </row>
    <row r="4" spans="1:14" x14ac:dyDescent="0.55000000000000004">
      <c r="A4" s="32" t="s">
        <v>54</v>
      </c>
      <c r="B4" t="s">
        <v>56</v>
      </c>
      <c r="C4" s="56">
        <f>MIN(Data[Rev])</f>
        <v>74000</v>
      </c>
    </row>
    <row r="5" spans="1:14" x14ac:dyDescent="0.55000000000000004">
      <c r="A5" s="37">
        <v>0.25</v>
      </c>
      <c r="B5" t="s">
        <v>57</v>
      </c>
      <c r="C5" s="56">
        <f>_xlfn.PERCENTILE.EXC(Data[Rev],A5)</f>
        <v>113750</v>
      </c>
      <c r="D5" s="57"/>
    </row>
    <row r="6" spans="1:14" x14ac:dyDescent="0.55000000000000004">
      <c r="A6" s="37">
        <v>0.5</v>
      </c>
      <c r="B6" t="s">
        <v>58</v>
      </c>
      <c r="C6" s="56">
        <f>_xlfn.PERCENTILE.EXC(Data[Rev],A6)</f>
        <v>448000</v>
      </c>
      <c r="D6" s="57"/>
    </row>
    <row r="7" spans="1:14" x14ac:dyDescent="0.55000000000000004">
      <c r="A7" s="37">
        <v>0.75</v>
      </c>
      <c r="B7" t="s">
        <v>59</v>
      </c>
      <c r="C7" s="56">
        <f>_xlfn.PERCENTILE.EXC(Data[Rev],A7)</f>
        <v>16602000</v>
      </c>
      <c r="D7" s="57"/>
    </row>
    <row r="8" spans="1:14" x14ac:dyDescent="0.55000000000000004">
      <c r="A8"/>
      <c r="D8" s="5"/>
    </row>
    <row r="9" spans="1:14" x14ac:dyDescent="0.55000000000000004">
      <c r="A9" s="44" t="s">
        <v>112</v>
      </c>
      <c r="B9" s="86"/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x14ac:dyDescent="0.55000000000000004">
      <c r="A10" s="36" t="s">
        <v>64</v>
      </c>
      <c r="B10" s="33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x14ac:dyDescent="0.55000000000000004">
      <c r="A11" s="85">
        <v>74000</v>
      </c>
      <c r="B11" s="33" t="s">
        <v>60</v>
      </c>
      <c r="D11" s="6">
        <f t="array" ref="D11">SUM(IF(LOOKUP(Data[Rev],DefineSize[])=DefineSize[[#This Row],[Label]],1,0))</f>
        <v>6</v>
      </c>
      <c r="E11" s="47">
        <f t="array" ref="E11">SUM(IF(LOOKUP(Data[Rev],DefineSize[])=DefineSize[[#This Row],[Label]],Data[Rev],0))</f>
        <v>551000</v>
      </c>
      <c r="F11" s="47">
        <f t="array" ref="F11">SUM(IF(LOOKUP(Data[Rev],DefineSize[])=DefineSize[[#This Row],[Label]],Data[Exp],0))</f>
        <v>447000</v>
      </c>
      <c r="G11" s="48">
        <f t="array" ref="G11">AVERAGE(IF(LOOKUP(Data[Rev],DefineSize[])=DefineSize[[#This Row],[Label]],Data[Rev],""))</f>
        <v>91833.333333333328</v>
      </c>
      <c r="H11" s="48">
        <f t="array" ref="H11">AVERAGE(IF(LOOKUP(Data[Rev],DefineSize[])=DefineSize[[#This Row],[Label]],Data[Exp],""))</f>
        <v>74500</v>
      </c>
      <c r="I11" s="31">
        <f>(E11-F11)/E11</f>
        <v>0.18874773139745918</v>
      </c>
      <c r="J11" s="31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49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31">
        <f t="array" ref="L11">AVERAGE(IF(LOOKUP(Data[Rev],DefineSize[])=DefineSize[[#This Row],[Label]],(Data[Rev]-Data[Exp])/Data[Rev],""))</f>
        <v>0.18278725539749344</v>
      </c>
      <c r="M11" s="49">
        <f t="array" ref="M11">AVERAGE(IF(LOOKUP(Data[Rev],DefineSize[])=DefineSize[[#This Row],[Label]],Data[Happiness],""))</f>
        <v>0.83333333333333337</v>
      </c>
      <c r="N11" s="58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x14ac:dyDescent="0.55000000000000004">
      <c r="A12" s="85"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0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s="58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85"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0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s="58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85"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0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s="58" t="str">
        <f t="array" ref="N14">_xlfn.CONCAT(IF(LOOKUP(Data[Rev],DefineSize[])=DefineSize[[#This Row],[Label]],Data[Name]&amp;", ",""))</f>
        <v xml:space="preserve">Aardvark, Dingo, Narwhal, Urubu, Vertigo, Xantus, </v>
      </c>
    </row>
    <row r="16" spans="1:14" ht="16" thickBot="1" x14ac:dyDescent="0.6">
      <c r="A16" s="35" t="s">
        <v>53</v>
      </c>
      <c r="B16" s="33" t="s">
        <v>55</v>
      </c>
      <c r="C16" s="35" t="s">
        <v>44</v>
      </c>
    </row>
    <row r="17" spans="1:14" ht="16.350000000000001" thickTop="1" thickBot="1" x14ac:dyDescent="0.6">
      <c r="A17" s="32" t="s">
        <v>54</v>
      </c>
      <c r="B17" t="s">
        <v>56</v>
      </c>
      <c r="C17" s="69">
        <f t="array" ref="C17">MIN((Data[Rev]-Data[Exp])/Data[Rev])</f>
        <v>-0.18888888888888888</v>
      </c>
      <c r="D17" s="5" t="str">
        <f ca="1">_xlfn.FORMULATEXT(C17)</f>
        <v>{=MIN((Data[Rev]-Data[Exp])/Data[Rev])}</v>
      </c>
    </row>
    <row r="18" spans="1:14" ht="16.350000000000001" thickTop="1" thickBot="1" x14ac:dyDescent="0.6">
      <c r="A18" s="37">
        <v>0.25</v>
      </c>
      <c r="B18" t="s">
        <v>57</v>
      </c>
      <c r="C18" s="69">
        <f t="array" ref="C18">_xlfn.PERCENTILE.EXC((Data[Rev]-Data[Exp])/Data[Rev],A18)</f>
        <v>-2.1714272218143746E-2</v>
      </c>
      <c r="D18" s="5" t="str">
        <f t="shared" ref="D18:D20" ca="1" si="1">_xlfn.FORMULATEXT(C18)</f>
        <v>{=PERCENTILE.EXC((Data[Rev]-Data[Exp])/Data[Rev],A18)}</v>
      </c>
    </row>
    <row r="19" spans="1:14" ht="16.350000000000001" thickTop="1" thickBot="1" x14ac:dyDescent="0.6">
      <c r="A19" s="37">
        <v>0.5</v>
      </c>
      <c r="B19" t="s">
        <v>58</v>
      </c>
      <c r="C19" s="69">
        <f t="array" ref="C19">_xlfn.PERCENTILE.EXC((Data[Rev]-Data[Exp])/Data[Rev],A19)</f>
        <v>7.1406046135297219E-2</v>
      </c>
      <c r="D19" s="5" t="str">
        <f t="shared" ca="1" si="1"/>
        <v>{=PERCENTILE.EXC((Data[Rev]-Data[Exp])/Data[Rev],A19)}</v>
      </c>
    </row>
    <row r="20" spans="1:14" ht="16.350000000000001" thickTop="1" thickBot="1" x14ac:dyDescent="0.6">
      <c r="A20" s="37">
        <v>0.75</v>
      </c>
      <c r="B20" t="s">
        <v>59</v>
      </c>
      <c r="C20" s="69">
        <f t="array" ref="C20">_xlfn.PERCENTILE.EXC((Data[Rev]-Data[Exp])/Data[Rev],A20)</f>
        <v>0.25</v>
      </c>
      <c r="D20" s="5" t="str">
        <f t="shared" ca="1" si="1"/>
        <v>{=PERCENTILE.EXC((Data[Rev]-Data[Exp])/Data[Rev],A20)}</v>
      </c>
    </row>
    <row r="21" spans="1:14" ht="16" thickTop="1" x14ac:dyDescent="0.55000000000000004">
      <c r="C21" s="52"/>
      <c r="D21" s="5"/>
    </row>
    <row r="22" spans="1:14" x14ac:dyDescent="0.55000000000000004">
      <c r="A22" s="44" t="s">
        <v>113</v>
      </c>
      <c r="B22" s="86"/>
      <c r="E22" s="91" t="s">
        <v>80</v>
      </c>
      <c r="F22" s="91"/>
      <c r="G22" s="91"/>
      <c r="H22" s="91"/>
      <c r="J22" s="91" t="s">
        <v>81</v>
      </c>
      <c r="K22" s="91"/>
      <c r="L22" s="91"/>
      <c r="M22" s="91"/>
    </row>
    <row r="23" spans="1:14" ht="16" thickBot="1" x14ac:dyDescent="0.6">
      <c r="A23" s="36" t="s">
        <v>75</v>
      </c>
      <c r="B23" s="36" t="s">
        <v>55</v>
      </c>
      <c r="D23" s="35" t="s">
        <v>66</v>
      </c>
      <c r="E23" s="35" t="str">
        <f t="array" ref="E23:H23">TRANSPOSE(DefineSize[Label])</f>
        <v>Micro</v>
      </c>
      <c r="F23" s="35" t="str">
        <v>Small</v>
      </c>
      <c r="G23" s="35" t="str">
        <v>Medium</v>
      </c>
      <c r="H23" s="35" t="str">
        <v>Large</v>
      </c>
      <c r="I23" s="35" t="s">
        <v>79</v>
      </c>
      <c r="J23" s="35" t="str">
        <f t="array" ref="J23:M23">TRANSPOSE(DefineSize[Label])</f>
        <v>Micro</v>
      </c>
      <c r="K23" s="35" t="str">
        <v>Small</v>
      </c>
      <c r="L23" s="35" t="str">
        <v>Medium</v>
      </c>
      <c r="M23" s="35" t="str">
        <v>Large</v>
      </c>
      <c r="N23" s="35" t="s">
        <v>79</v>
      </c>
    </row>
    <row r="24" spans="1:14" ht="16.350000000000001" thickTop="1" thickBot="1" x14ac:dyDescent="0.6">
      <c r="A24" s="55">
        <f>C17</f>
        <v>-0.18888888888888888</v>
      </c>
      <c r="B24" s="33" t="s">
        <v>77</v>
      </c>
      <c r="D24" s="66">
        <f t="array" ref="D24">SUM(IF(LOOKUP((Data[Rev]-Data[Exp])/Data[Rev],DefineProfit[])=DefineProfit[[#This Row],[Label]],1,0))</f>
        <v>6</v>
      </c>
      <c r="E24" s="71">
        <f t="array" ref="E24">SUM(IF((LOOKUP((Data[Rev]-Data[Exp])/Data[Rev],DefineProfit[])=DefineProfit[[#This Row],[Label]])*(LOOKUP(Data[Rev],$A$11:$B$14)=E$23)&lt;&gt;0,1,0))</f>
        <v>1</v>
      </c>
      <c r="F24" s="50">
        <f t="array" ref="F24">SUM(IF((LOOKUP((Data[Rev]-Data[Exp])/Data[Rev],DefineProfit[])=DefineProfit[[#This Row],[Label]])*(LOOKUP(Data[Rev],$A$11:$B$14)=F$23)&lt;&gt;0,1,0))</f>
        <v>3</v>
      </c>
      <c r="G24" s="50">
        <f t="array" ref="G24">SUM(IF((LOOKUP((Data[Rev]-Data[Exp])/Data[Rev],DefineProfit[])=DefineProfit[[#This Row],[Label]])*(LOOKUP(Data[Rev],$A$11:$B$14)=G$23)&lt;&gt;0,1,0))</f>
        <v>1</v>
      </c>
      <c r="H24" s="50">
        <f t="array" ref="H24">SUM(IF((LOOKUP((Data[Rev]-Data[Exp])/Data[Rev],DefineProfit[])=DefineProfit[[#This Row],[Label]])*(LOOKUP(Data[Rev],$A$11:$B$14)=H$23)&lt;&gt;0,1,0))</f>
        <v>1</v>
      </c>
      <c r="I24" s="73" t="b">
        <f>SUM(E24:H24)=D24</f>
        <v>1</v>
      </c>
      <c r="J24" s="75">
        <f t="array" ref="J24">IF(E24&lt;&gt;0,AVERAGE(IF((LOOKUP((Data[Rev]-Data[Exp])/Data[Rev],DefineProfit[])=DefineProfit[[#This Row],[Label]])*(LOOKUP(Data[Rev],DefineSize[])=J$23)&lt;&gt;0,(Data[Rev]-Data[Exp])/Data[Rev],"")),0)</f>
        <v>-0.18888888888888888</v>
      </c>
      <c r="K24" s="52">
        <f t="array" ref="K24">IF(F24&lt;&gt;0,AVERAGE(IF((LOOKUP((Data[Rev]-Data[Exp])/Data[Rev],DefineProfit[])=DefineProfit[[#This Row],[Label]])*(LOOKUP(Data[Rev],DefineSize[])=K$23)&lt;&gt;0,(Data[Rev]-Data[Exp])/Data[Rev],"")),0)</f>
        <v>-9.3783797457169985E-2</v>
      </c>
      <c r="L24" s="52">
        <f t="array" ref="L24">IF(G24&lt;&gt;0,AVERAGE(IF((LOOKUP((Data[Rev]-Data[Exp])/Data[Rev],DefineProfit[])=DefineProfit[[#This Row],[Label]])*(LOOKUP(Data[Rev],DefineSize[])=L$23)&lt;&gt;0,(Data[Rev]-Data[Exp])/Data[Rev],"")),0)</f>
        <v>-5.3630363036303627E-2</v>
      </c>
      <c r="M24" s="52">
        <f t="array" ref="M24">IF(H24&lt;&gt;0,AVERAGE(IF((LOOKUP((Data[Rev]-Data[Exp])/Data[Rev],DefineProfit[])=DefineProfit[[#This Row],[Label]])*(LOOKUP(Data[Rev],DefineSize[])=M$23)&lt;&gt;0,(Data[Rev]-Data[Exp])/Data[Rev],"")),0)</f>
        <v>-3.6725162751202946E-2</v>
      </c>
      <c r="N24" s="52"/>
    </row>
    <row r="25" spans="1:14" ht="16" thickTop="1" x14ac:dyDescent="0.55000000000000004">
      <c r="A25" s="46">
        <f>C18</f>
        <v>-2.1714272218143746E-2</v>
      </c>
      <c r="B25" s="33" t="s">
        <v>76</v>
      </c>
      <c r="D25" s="6">
        <f t="array" ref="D25">SUM(IF(LOOKUP((Data[Rev]-Data[Exp])/Data[Rev],$A$24:$B$27)=$B25,1,0))</f>
        <v>7</v>
      </c>
      <c r="E25" s="50">
        <f t="array" ref="E25">SUM(IF((LOOKUP((Data[Rev]-Data[Exp])/Data[Rev],DefineProfit[])=DefineProfit[[#This Row],[Label]])*(LOOKUP(Data[Rev],$A$11:$B$14)=E$23)&lt;&gt;0,1,0))</f>
        <v>1</v>
      </c>
      <c r="F25" s="50">
        <f t="array" ref="F25">SUM(IF((LOOKUP((Data[Rev]-Data[Exp])/Data[Rev],DefineProfit[])=DefineProfit[[#This Row],[Label]])*(LOOKUP(Data[Rev],$A$11:$B$14)=F$23)&lt;&gt;0,1,0))</f>
        <v>1</v>
      </c>
      <c r="G25" s="50">
        <f t="array" ref="G25">SUM(IF((LOOKUP((Data[Rev]-Data[Exp])/Data[Rev],DefineProfit[])=DefineProfit[[#This Row],[Label]])*(LOOKUP(Data[Rev],$A$11:$B$14)=G$23)&lt;&gt;0,1,0))</f>
        <v>3</v>
      </c>
      <c r="H25" s="50">
        <f t="array" ref="H25">SUM(IF((LOOKUP((Data[Rev]-Data[Exp])/Data[Rev],DefineProfit[])=DefineProfit[[#This Row],[Label]])*(LOOKUP(Data[Rev],$A$11:$B$14)=H$23)&lt;&gt;0,1,0))</f>
        <v>2</v>
      </c>
      <c r="I25" s="51" t="b">
        <f t="shared" ref="I25:I27" si="2">SUM(E25:H25)=D25</f>
        <v>1</v>
      </c>
      <c r="J25" s="52">
        <f t="array" ref="J25">IF(E25&lt;&gt;0,AVERAGE(IF((LOOKUP((Data[Rev]-Data[Exp])/Data[Rev],DefineProfit[])=DefineProfit[[#This Row],[Label]])*(LOOKUP(Data[Rev],DefineSize[])=J$23)&lt;&gt;0,(Data[Rev]-Data[Exp])/Data[Rev],"")),0)</f>
        <v>5.4945054945054944E-2</v>
      </c>
      <c r="K25" s="52">
        <f t="array" ref="K25">IF(F25&lt;&gt;0,AVERAGE(IF((LOOKUP((Data[Rev]-Data[Exp])/Data[Rev],DefineProfit[])=DefineProfit[[#This Row],[Label]])*(LOOKUP(Data[Rev],DefineSize[])=K$23)&lt;&gt;0,(Data[Rev]-Data[Exp])/Data[Rev],"")),0)</f>
        <v>4.8275862068965517E-2</v>
      </c>
      <c r="L25" s="52">
        <f t="array" ref="L25">IF(G25&lt;&gt;0,AVERAGE(IF((LOOKUP((Data[Rev]-Data[Exp])/Data[Rev],DefineProfit[])=DefineProfit[[#This Row],[Label]])*(LOOKUP(Data[Rev],DefineSize[])=L$23)&lt;&gt;0,(Data[Rev]-Data[Exp])/Data[Rev],"")),0)</f>
        <v>3.145098630546795E-2</v>
      </c>
      <c r="M25" s="52">
        <f t="array" ref="M25">IF(H25&lt;&gt;0,AVERAGE(IF((LOOKUP((Data[Rev]-Data[Exp])/Data[Rev],DefineProfit[])=DefineProfit[[#This Row],[Label]])*(LOOKUP(Data[Rev],DefineSize[])=M$23)&lt;&gt;0,(Data[Rev]-Data[Exp])/Data[Rev],"")),0)</f>
        <v>3.2810125110048396E-2</v>
      </c>
      <c r="N25" s="52"/>
    </row>
    <row r="26" spans="1:14" x14ac:dyDescent="0.55000000000000004">
      <c r="A26" s="46">
        <f>C19</f>
        <v>7.1406046135297219E-2</v>
      </c>
      <c r="B26" s="33" t="s">
        <v>78</v>
      </c>
      <c r="D26" s="6">
        <f t="array" ref="D26">SUM(IF(LOOKUP((Data[Rev]-Data[Exp])/Data[Rev],$A$24:$B$27)=$B26,1,0))</f>
        <v>6</v>
      </c>
      <c r="E26" s="50">
        <f t="array" ref="E26">SUM(IF((LOOKUP((Data[Rev]-Data[Exp])/Data[Rev],DefineProfit[])=DefineProfit[[#This Row],[Label]])*(LOOKUP(Data[Rev],$A$11:$B$14)=E$23)&lt;&gt;0,1,0))</f>
        <v>1</v>
      </c>
      <c r="F26" s="50">
        <f t="array" ref="F26">SUM(IF((LOOKUP((Data[Rev]-Data[Exp])/Data[Rev],DefineProfit[])=DefineProfit[[#This Row],[Label]])*(LOOKUP(Data[Rev],$A$11:$B$14)=F$23)&lt;&gt;0,1,0))</f>
        <v>0</v>
      </c>
      <c r="G26" s="50">
        <f t="array" ref="G26">SUM(IF((LOOKUP((Data[Rev]-Data[Exp])/Data[Rev],DefineProfit[])=DefineProfit[[#This Row],[Label]])*(LOOKUP(Data[Rev],$A$11:$B$14)=G$23)&lt;&gt;0,1,0))</f>
        <v>2</v>
      </c>
      <c r="H26" s="50">
        <f t="array" ref="H26">SUM(IF((LOOKUP((Data[Rev]-Data[Exp])/Data[Rev],DefineProfit[])=DefineProfit[[#This Row],[Label]])*(LOOKUP(Data[Rev],$A$11:$B$14)=H$23)&lt;&gt;0,1,0))</f>
        <v>3</v>
      </c>
      <c r="I26" s="51" t="b">
        <f t="shared" si="2"/>
        <v>1</v>
      </c>
      <c r="J26" s="52">
        <f t="array" ref="J26">IF(E26&lt;&gt;0,AVERAGE(IF((LOOKUP((Data[Rev]-Data[Exp])/Data[Rev],DefineProfit[])=DefineProfit[[#This Row],[Label]])*(LOOKUP(Data[Rev],DefineSize[])=J$23)&lt;&gt;0,(Data[Rev]-Data[Exp])/Data[Rev],"")),0)</f>
        <v>0.22988505747126436</v>
      </c>
      <c r="K26" s="52">
        <f t="array" ref="K26">IF(F26&lt;&gt;0,AVERAGE(IF((LOOKUP((Data[Rev]-Data[Exp])/Data[Rev],DefineProfit[])=DefineProfit[[#This Row],[Label]])*(LOOKUP(Data[Rev],DefineSize[])=K$23)&lt;&gt;0,(Data[Rev]-Data[Exp])/Data[Rev],"")),0)</f>
        <v>0</v>
      </c>
      <c r="L26" s="52">
        <f t="array" ref="L26">IF(G26&lt;&gt;0,AVERAGE(IF((LOOKUP((Data[Rev]-Data[Exp])/Data[Rev],DefineProfit[])=DefineProfit[[#This Row],[Label]])*(LOOKUP(Data[Rev],DefineSize[])=L$23)&lt;&gt;0,(Data[Rev]-Data[Exp])/Data[Rev],"")),0)</f>
        <v>0.14774266964032368</v>
      </c>
      <c r="M26" s="52">
        <f t="array" ref="M26">IF(H26&lt;&gt;0,AVERAGE(IF((LOOKUP((Data[Rev]-Data[Exp])/Data[Rev],DefineProfit[])=DefineProfit[[#This Row],[Label]])*(LOOKUP(Data[Rev],DefineSize[])=M$23)&lt;&gt;0,(Data[Rev]-Data[Exp])/Data[Rev],"")),0)</f>
        <v>8.5771519840017851E-2</v>
      </c>
      <c r="N26" s="52"/>
    </row>
    <row r="27" spans="1:14" ht="16" thickBot="1" x14ac:dyDescent="0.6">
      <c r="A27" s="46">
        <f>C20</f>
        <v>0.25</v>
      </c>
      <c r="B27" s="33" t="s">
        <v>102</v>
      </c>
      <c r="D27" s="6">
        <f t="array" ref="D27">SUM(IF(LOOKUP((Data[Rev]-Data[Exp])/Data[Rev],$A$24:$B$27)=$B27,1,0))</f>
        <v>7</v>
      </c>
      <c r="E27" s="50">
        <f t="array" ref="E27">SUM(IF((LOOKUP((Data[Rev]-Data[Exp])/Data[Rev],DefineProfit[])=DefineProfit[[#This Row],[Label]])*(LOOKUP(Data[Rev],$A$11:$B$14)=E$23)&lt;&gt;0,1,0))</f>
        <v>3</v>
      </c>
      <c r="F27" s="50">
        <f t="array" ref="F27">SUM(IF((LOOKUP((Data[Rev]-Data[Exp])/Data[Rev],DefineProfit[])=DefineProfit[[#This Row],[Label]])*(LOOKUP(Data[Rev],$A$11:$B$14)=F$23)&lt;&gt;0,1,0))</f>
        <v>3</v>
      </c>
      <c r="G27" s="50">
        <f t="array" ref="G27">SUM(IF((LOOKUP((Data[Rev]-Data[Exp])/Data[Rev],DefineProfit[])=DefineProfit[[#This Row],[Label]])*(LOOKUP(Data[Rev],$A$11:$B$14)=G$23)&lt;&gt;0,1,0))</f>
        <v>1</v>
      </c>
      <c r="H27" s="50">
        <f t="array" ref="H27">SUM(IF((LOOKUP((Data[Rev]-Data[Exp])/Data[Rev],DefineProfit[])=DefineProfit[[#This Row],[Label]])*(LOOKUP(Data[Rev],$A$11:$B$14)=H$23)&lt;&gt;0,1,0))</f>
        <v>0</v>
      </c>
      <c r="I27" s="51" t="b">
        <f t="shared" si="2"/>
        <v>1</v>
      </c>
      <c r="J27" s="52">
        <f t="array" ref="J27">IF(E27&lt;&gt;0,AVERAGE(IF((LOOKUP((Data[Rev]-Data[Exp])/Data[Rev],DefineProfit[])=DefineProfit[[#This Row],[Label]])*(LOOKUP(Data[Rev],DefineSize[])=J$23)&lt;&gt;0,(Data[Rev]-Data[Exp])/Data[Rev],"")),0)</f>
        <v>0.33359410295251007</v>
      </c>
      <c r="K27" s="52">
        <f t="array" ref="K27">IF(F27&lt;&gt;0,AVERAGE(IF((LOOKUP((Data[Rev]-Data[Exp])/Data[Rev],DefineProfit[])=DefineProfit[[#This Row],[Label]])*(LOOKUP(Data[Rev],DefineSize[])=K$23)&lt;&gt;0,(Data[Rev]-Data[Exp])/Data[Rev],"")),0)</f>
        <v>0.3209022976464837</v>
      </c>
      <c r="L27" s="52">
        <f t="array" ref="L27">IF(G27&lt;&gt;0,AVERAGE(IF((LOOKUP((Data[Rev]-Data[Exp])/Data[Rev],DefineProfit[])=DefineProfit[[#This Row],[Label]])*(LOOKUP(Data[Rev],DefineSize[])=L$23)&lt;&gt;0,(Data[Rev]-Data[Exp])/Data[Rev],"")),0)</f>
        <v>0.25</v>
      </c>
      <c r="M27" s="52">
        <f t="array" ref="M27">IF(H27&lt;&gt;0,AVERAGE(IF((LOOKUP((Data[Rev]-Data[Exp])/Data[Rev],DefineProfit[])=DefineProfit[[#This Row],[Label]])*(LOOKUP(Data[Rev],DefineSize[])=M$23)&lt;&gt;0,(Data[Rev]-Data[Exp])/Data[Rev],"")),0)</f>
        <v>0</v>
      </c>
      <c r="N27" s="52"/>
    </row>
    <row r="28" spans="1:14" ht="16.350000000000001" thickTop="1" thickBot="1" x14ac:dyDescent="0.6">
      <c r="B28" s="33" t="s">
        <v>82</v>
      </c>
      <c r="D28" s="33">
        <f>SUM(D24:D27)</f>
        <v>26</v>
      </c>
      <c r="E28" s="72">
        <f>SUM(E24:E27)</f>
        <v>6</v>
      </c>
      <c r="F28" s="54">
        <f t="shared" ref="F28:H28" si="3">SUM(F24:F27)</f>
        <v>7</v>
      </c>
      <c r="G28" s="54">
        <f t="shared" si="3"/>
        <v>7</v>
      </c>
      <c r="H28" s="54">
        <f t="shared" si="3"/>
        <v>6</v>
      </c>
      <c r="I28" s="74" t="b">
        <f t="array" ref="I28">E28:H28=TRANSPOSE(D11:D14)</f>
        <v>1</v>
      </c>
      <c r="J28" s="76">
        <f t="array" ref="J28">SUM(E24:E27*J24:J27)/SUM(E24:E27)</f>
        <v>0.18278725539749344</v>
      </c>
      <c r="K28" s="53">
        <f t="array" ref="K28">SUM(F24:F27*K24:K27)/SUM(F24:F27)</f>
        <v>0.10423305180527238</v>
      </c>
      <c r="L28" s="53">
        <f t="array" ref="L28">SUM(G24:G27*L24:L27)/SUM(G24:G27)</f>
        <v>8.3743990737249668E-2</v>
      </c>
      <c r="M28" s="53">
        <f t="array" ref="M28">SUM(H24:H27*M24:M27)/SUM(H24:H27)</f>
        <v>4.7701607831491237E-2</v>
      </c>
      <c r="N28" s="74" t="b">
        <f t="array" ref="N28">J28:M28=TRANSPOSE(L11:L14)</f>
        <v>1</v>
      </c>
    </row>
    <row r="29" spans="1:14" ht="16.350000000000001" thickTop="1" thickBot="1" x14ac:dyDescent="0.6">
      <c r="N29" s="74" t="b">
        <f>SUMPRODUCT(J24:M27,E24:H27)=SUMPRODUCT(L11:L14,D11:D14)</f>
        <v>1</v>
      </c>
    </row>
    <row r="30" spans="1:14" ht="16" thickTop="1" x14ac:dyDescent="0.55000000000000004">
      <c r="A30" s="41" t="s">
        <v>65</v>
      </c>
    </row>
    <row r="31" spans="1:14" x14ac:dyDescent="0.55000000000000004">
      <c r="A31" s="36" t="str">
        <f>D23</f>
        <v>n</v>
      </c>
      <c r="C31" s="32" t="str">
        <f>"(Cell "&amp;ADDRESS(ROW(D24),COLUMN(D24),4,1)&amp;")"</f>
        <v>(Cell D24)</v>
      </c>
      <c r="D31" s="5" t="str">
        <f ca="1">_xlfn.FORMULATEXT(D24)</f>
        <v>{=SUM(IF(LOOKUP((Data[Rev]-Data[Exp])/Data[Rev],DefineProfit)=DefineProfit[@Label],1,0))}</v>
      </c>
    </row>
    <row r="32" spans="1:14" ht="15.7" customHeight="1" x14ac:dyDescent="0.55000000000000004">
      <c r="A32" s="90" t="s">
        <v>103</v>
      </c>
      <c r="B32" s="90"/>
      <c r="C32" s="32" t="str">
        <f>"(Cell "&amp;ADDRESS(ROW(E24),COLUMN(E24),4,1)&amp;")"</f>
        <v>(Cell E24)</v>
      </c>
      <c r="D32" s="5" t="str">
        <f ca="1">_xlfn.FORMULATEXT(E24)</f>
        <v>{=SUM(IF((LOOKUP((Data[Rev]-Data[Exp])/Data[Rev],DefineProfit)=DefineProfit[@Label])*(LOOKUP(Data[Rev],$A$11:$B$14)=E$23)&lt;&gt;0,1,0))}</v>
      </c>
    </row>
    <row r="33" spans="1:4" x14ac:dyDescent="0.55000000000000004">
      <c r="A33" s="90"/>
      <c r="B33" s="90"/>
      <c r="C33" s="32" t="str">
        <f>"(Cell "&amp;ADDRESS(ROW(E28),COLUMN(E28),4,1)&amp;")"</f>
        <v>(Cell E28)</v>
      </c>
      <c r="D33" s="5" t="str">
        <f ca="1">_xlfn.FORMULATEXT(E28)</f>
        <v>=SUM(E24:E27)</v>
      </c>
    </row>
    <row r="34" spans="1:4" ht="15.7" customHeight="1" x14ac:dyDescent="0.55000000000000004">
      <c r="A34" s="90" t="s">
        <v>104</v>
      </c>
      <c r="B34" s="90"/>
      <c r="C34" s="32" t="str">
        <f>"(Cell "&amp;ADDRESS(ROW(I24),COLUMN(I24),4,1)&amp;")"</f>
        <v>(Cell I24)</v>
      </c>
      <c r="D34" s="5" t="str">
        <f ca="1">_xlfn.FORMULATEXT(I24)</f>
        <v>=SUM(E24:H24)=D24</v>
      </c>
    </row>
    <row r="35" spans="1:4" x14ac:dyDescent="0.55000000000000004">
      <c r="A35" s="90"/>
      <c r="B35" s="90"/>
      <c r="C35" s="32" t="str">
        <f>"(Cell "&amp;ADDRESS(ROW(I28),COLUMN(I28),4,1)&amp;")"</f>
        <v>(Cell I28)</v>
      </c>
      <c r="D35" s="5" t="str">
        <f ca="1">_xlfn.FORMULATEXT(I28)</f>
        <v>{=E28:H28=TRANSPOSE(D11:D14)}</v>
      </c>
    </row>
    <row r="36" spans="1:4" ht="15.7" customHeight="1" x14ac:dyDescent="0.55000000000000004">
      <c r="A36" s="90" t="s">
        <v>105</v>
      </c>
      <c r="B36" s="90"/>
      <c r="C36" s="32" t="str">
        <f>"(Cell "&amp;ADDRESS(ROW(J24),COLUMN(J24),4,1)&amp;")"</f>
        <v>(Cell J24)</v>
      </c>
      <c r="D36" s="5" t="str">
        <f ca="1">_xlfn.FORMULATEXT(J24)</f>
        <v>{=IF(E24&lt;&gt;0,AVERAGE(IF((LOOKUP((Data[Rev]-Data[Exp])/Data[Rev],DefineProfit)=DefineProfit[@Label])*(LOOKUP(Data[Rev],DefineSize)=J$23)&lt;&gt;0,(Data[Rev]-Data[Exp])/Data[Rev],"")),0)}</v>
      </c>
    </row>
    <row r="37" spans="1:4" x14ac:dyDescent="0.55000000000000004">
      <c r="A37" s="90"/>
      <c r="B37" s="90"/>
      <c r="C37" s="32" t="str">
        <f>"(Cell "&amp;ADDRESS(ROW(J28),COLUMN(J28),4,1)&amp;")"</f>
        <v>(Cell J28)</v>
      </c>
      <c r="D37" s="5" t="str">
        <f ca="1">_xlfn.FORMULATEXT(J28)</f>
        <v>{=SUM(E24:E27*J24:J27)/SUM(E24:E27)}</v>
      </c>
    </row>
    <row r="38" spans="1:4" ht="15.7" customHeight="1" x14ac:dyDescent="0.55000000000000004">
      <c r="A38" s="90" t="s">
        <v>106</v>
      </c>
      <c r="B38" s="90"/>
      <c r="C38" s="32" t="str">
        <f>"(Cell "&amp;ADDRESS(ROW(N28),COLUMN(N28),4,1)&amp;")"</f>
        <v>(Cell N28)</v>
      </c>
      <c r="D38" s="5" t="str">
        <f ca="1">_xlfn.FORMULATEXT(N28)</f>
        <v>{=J28:M28=TRANSPOSE(L11:L14)}</v>
      </c>
    </row>
    <row r="39" spans="1:4" x14ac:dyDescent="0.55000000000000004">
      <c r="A39" s="90"/>
      <c r="B39" s="90"/>
      <c r="C39" s="32" t="str">
        <f>"(Cell "&amp;ADDRESS(ROW(N29),COLUMN(N29),4,1)&amp;")"</f>
        <v>(Cell N29)</v>
      </c>
      <c r="D39" s="5" t="str">
        <f ca="1">_xlfn.FORMULATEXT(N29)</f>
        <v>=SUMPRODUCT(J24:M27,E24:H27)=SUMPRODUCT(L11:L14,D11:D14)</v>
      </c>
    </row>
  </sheetData>
  <mergeCells count="10">
    <mergeCell ref="A32:B33"/>
    <mergeCell ref="A34:B35"/>
    <mergeCell ref="A36:B37"/>
    <mergeCell ref="A38:B39"/>
    <mergeCell ref="E9:F9"/>
    <mergeCell ref="G9:H9"/>
    <mergeCell ref="I9:K9"/>
    <mergeCell ref="L9:M9"/>
    <mergeCell ref="E22:H22"/>
    <mergeCell ref="J22:M22"/>
  </mergeCells>
  <conditionalFormatting sqref="E24:H27">
    <cfRule type="colorScale" priority="2">
      <colorScale>
        <cfvo type="min"/>
        <cfvo type="max"/>
        <color theme="0"/>
        <color rgb="FFFF9800"/>
      </colorScale>
    </cfRule>
  </conditionalFormatting>
  <conditionalFormatting sqref="J24:M27">
    <cfRule type="colorScale" priority="1">
      <colorScale>
        <cfvo type="min"/>
        <cfvo type="num" val="0"/>
        <cfvo type="max"/>
        <color rgb="FFFF9800"/>
        <color rgb="FFFCFCFF"/>
        <color rgb="FF00B0F0"/>
      </colorScale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pane xSplit="3" ySplit="1" topLeftCell="D30" activePane="bottomRight" state="frozen"/>
      <selection pane="topRight"/>
      <selection pane="bottomLeft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x14ac:dyDescent="0.55000000000000004">
      <c r="A3" s="35" t="s">
        <v>53</v>
      </c>
      <c r="B3" s="33" t="s">
        <v>55</v>
      </c>
      <c r="C3" s="35" t="s">
        <v>2</v>
      </c>
    </row>
    <row r="4" spans="1:14" x14ac:dyDescent="0.55000000000000004">
      <c r="A4" s="32" t="s">
        <v>54</v>
      </c>
      <c r="B4" t="s">
        <v>56</v>
      </c>
      <c r="C4" s="56">
        <f>MIN(Data[Rev])</f>
        <v>74000</v>
      </c>
    </row>
    <row r="5" spans="1:14" x14ac:dyDescent="0.55000000000000004">
      <c r="A5" s="37">
        <v>0.25</v>
      </c>
      <c r="B5" t="s">
        <v>57</v>
      </c>
      <c r="C5" s="56">
        <f>_xlfn.PERCENTILE.EXC(Data[Rev],A5)</f>
        <v>113750</v>
      </c>
      <c r="D5" s="57"/>
    </row>
    <row r="6" spans="1:14" x14ac:dyDescent="0.55000000000000004">
      <c r="A6" s="37">
        <v>0.5</v>
      </c>
      <c r="B6" t="s">
        <v>58</v>
      </c>
      <c r="C6" s="56">
        <f>_xlfn.PERCENTILE.EXC(Data[Rev],A6)</f>
        <v>448000</v>
      </c>
      <c r="D6" s="57"/>
    </row>
    <row r="7" spans="1:14" x14ac:dyDescent="0.55000000000000004">
      <c r="A7" s="37">
        <v>0.75</v>
      </c>
      <c r="B7" t="s">
        <v>59</v>
      </c>
      <c r="C7" s="56">
        <f>_xlfn.PERCENTILE.EXC(Data[Rev],A7)</f>
        <v>16602000</v>
      </c>
      <c r="D7" s="57"/>
    </row>
    <row r="8" spans="1:14" x14ac:dyDescent="0.55000000000000004">
      <c r="A8" s="37"/>
      <c r="C8" s="34"/>
      <c r="D8" s="5"/>
    </row>
    <row r="9" spans="1:14" x14ac:dyDescent="0.55000000000000004">
      <c r="A9" s="44" t="s">
        <v>112</v>
      </c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x14ac:dyDescent="0.55000000000000004">
      <c r="A10" s="36" t="s">
        <v>64</v>
      </c>
      <c r="B10" s="36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x14ac:dyDescent="0.55000000000000004">
      <c r="A11" s="38">
        <v>74000</v>
      </c>
      <c r="B11" s="33" t="s">
        <v>60</v>
      </c>
      <c r="D11" s="6">
        <f t="array" ref="D11">SUM(IF(LOOKUP(Data[Rev],DefineSize[])=DefineSize[[#This Row],[Label]],1,0))</f>
        <v>6</v>
      </c>
      <c r="E11" s="47">
        <f t="array" ref="E11">SUM(IF(LOOKUP(Data[Rev],DefineSize[])=DefineSize[[#This Row],[Label]],Data[Rev],0))</f>
        <v>551000</v>
      </c>
      <c r="F11" s="47">
        <f t="array" ref="F11">SUM(IF(LOOKUP(Data[Rev],DefineSize[])=DefineSize[[#This Row],[Label]],Data[Exp],0))</f>
        <v>447000</v>
      </c>
      <c r="G11" s="48">
        <f t="array" ref="G11">AVERAGE(IF(LOOKUP(Data[Rev],DefineSize[])=DefineSize[[#This Row],[Label]],Data[Rev],""))</f>
        <v>91833.333333333328</v>
      </c>
      <c r="H11" s="48">
        <f t="array" ref="H11">AVERAGE(IF(LOOKUP(Data[Rev],DefineSize[])=DefineSize[[#This Row],[Label]],Data[Exp],""))</f>
        <v>74500</v>
      </c>
      <c r="I11" s="31">
        <f>(E11-F11)/E11</f>
        <v>0.18874773139745918</v>
      </c>
      <c r="J11" s="31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49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31">
        <f t="array" ref="L11">AVERAGE(IF(LOOKUP(Data[Rev],DefineSize[])=DefineSize[[#This Row],[Label]],(Data[Rev]-Data[Exp])/Data[Rev],""))</f>
        <v>0.18278725539749344</v>
      </c>
      <c r="M11" s="49">
        <f t="array" ref="M11">AVERAGE(IF(LOOKUP(Data[Rev],DefineSize[])=DefineSize[[#This Row],[Label]],Data[Happiness],""))</f>
        <v>0.83333333333333337</v>
      </c>
      <c r="N11" s="58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x14ac:dyDescent="0.55000000000000004">
      <c r="A12" s="38"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0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s="58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38"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0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s="58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38"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0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s="58" t="str">
        <f t="array" ref="N14">_xlfn.CONCAT(IF(LOOKUP(Data[Rev],DefineSize[])=DefineSize[[#This Row],[Label]],Data[Name]&amp;", ",""))</f>
        <v xml:space="preserve">Aardvark, Dingo, Narwhal, Urubu, Vertigo, Xantus, </v>
      </c>
    </row>
    <row r="16" spans="1:14" x14ac:dyDescent="0.55000000000000004">
      <c r="A16" s="35" t="s">
        <v>53</v>
      </c>
      <c r="B16" s="33" t="s">
        <v>55</v>
      </c>
      <c r="C16" s="35" t="s">
        <v>44</v>
      </c>
    </row>
    <row r="17" spans="1:14" x14ac:dyDescent="0.55000000000000004">
      <c r="A17" s="32" t="s">
        <v>54</v>
      </c>
      <c r="B17" t="s">
        <v>56</v>
      </c>
      <c r="C17" s="52">
        <f t="array" ref="C17">MIN((Data[Rev]-Data[Exp])/Data[Rev])</f>
        <v>-0.18888888888888888</v>
      </c>
      <c r="D17" s="57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55000000000000004">
      <c r="A18" s="37">
        <v>0.25</v>
      </c>
      <c r="B18" t="s">
        <v>57</v>
      </c>
      <c r="C18" s="52">
        <f t="array" ref="C18">_xlfn.PERCENTILE.EXC((Data[Rev]-Data[Exp])/Data[Rev],A18)</f>
        <v>-2.1714272218143746E-2</v>
      </c>
      <c r="D18" s="57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55000000000000004">
      <c r="A19" s="37">
        <v>0.5</v>
      </c>
      <c r="B19" t="s">
        <v>58</v>
      </c>
      <c r="C19" s="52">
        <f t="array" ref="C19">_xlfn.PERCENTILE.EXC((Data[Rev]-Data[Exp])/Data[Rev],A19)</f>
        <v>7.1406046135297219E-2</v>
      </c>
      <c r="D19" s="57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55000000000000004">
      <c r="A20" s="37">
        <v>0.75</v>
      </c>
      <c r="B20" t="s">
        <v>59</v>
      </c>
      <c r="C20" s="52">
        <f t="array" ref="C20">_xlfn.PERCENTILE.EXC((Data[Rev]-Data[Exp])/Data[Rev],A20)</f>
        <v>0.25</v>
      </c>
      <c r="D20" s="57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55000000000000004">
      <c r="A21"/>
      <c r="D21" s="57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55000000000000004">
      <c r="A22" s="44" t="s">
        <v>113</v>
      </c>
      <c r="C22" s="50"/>
      <c r="D22" s="50"/>
      <c r="E22" s="92" t="s">
        <v>80</v>
      </c>
      <c r="F22" s="92"/>
      <c r="G22" s="92"/>
      <c r="H22" s="92"/>
      <c r="I22" s="50"/>
      <c r="J22" s="92" t="s">
        <v>81</v>
      </c>
      <c r="K22" s="92"/>
      <c r="L22" s="92"/>
      <c r="M22" s="92"/>
      <c r="N22" s="50"/>
    </row>
    <row r="23" spans="1:14" x14ac:dyDescent="0.55000000000000004">
      <c r="A23" s="36" t="s">
        <v>75</v>
      </c>
      <c r="B23" s="36" t="s">
        <v>55</v>
      </c>
      <c r="C23" s="50"/>
      <c r="D23" s="59" t="s">
        <v>66</v>
      </c>
      <c r="E23" s="35" t="str">
        <f t="array" ref="E23:H23">TRANSPOSE(DefineSize[Label])</f>
        <v>Micro</v>
      </c>
      <c r="F23" s="35" t="str">
        <v>Small</v>
      </c>
      <c r="G23" s="35" t="str">
        <v>Medium</v>
      </c>
      <c r="H23" s="35" t="str">
        <v>Large</v>
      </c>
      <c r="I23" s="35" t="s">
        <v>79</v>
      </c>
      <c r="J23" s="35" t="str">
        <f t="array" ref="J23:M23">TRANSPOSE(DefineSize[Label])</f>
        <v>Micro</v>
      </c>
      <c r="K23" s="35" t="str">
        <v>Small</v>
      </c>
      <c r="L23" s="35" t="str">
        <v>Medium</v>
      </c>
      <c r="M23" s="35" t="str">
        <v>Large</v>
      </c>
      <c r="N23" s="59" t="s">
        <v>79</v>
      </c>
    </row>
    <row r="24" spans="1:14" x14ac:dyDescent="0.55000000000000004">
      <c r="A24" s="55">
        <f>C17</f>
        <v>-0.18888888888888888</v>
      </c>
      <c r="B24" s="33" t="s">
        <v>77</v>
      </c>
      <c r="C24" s="50"/>
      <c r="D24" s="50">
        <f t="array" ref="D24">SUM(IF(LOOKUP((Data[Rev]-Data[Exp])/Data[Rev],DefineProfit[])=DefineProfit[[#This Row],[Label]],1,0))</f>
        <v>6</v>
      </c>
      <c r="E24" s="50">
        <f t="array" ref="E24">SUM(IF((LOOKUP((Data[Rev]-Data[Exp])/Data[Rev],DefineProfit[])=DefineProfit[[#This Row],[Label]])*(LOOKUP(Data[Rev],$A$11:$B$14)=E$23)&lt;&gt;0,1,0))</f>
        <v>1</v>
      </c>
      <c r="F24" s="50">
        <f t="array" ref="F24">SUM(IF((LOOKUP((Data[Rev]-Data[Exp])/Data[Rev],DefineProfit[])=DefineProfit[[#This Row],[Label]])*(LOOKUP(Data[Rev],$A$11:$B$14)=F$23)&lt;&gt;0,1,0))</f>
        <v>3</v>
      </c>
      <c r="G24" s="50">
        <f t="array" ref="G24">SUM(IF((LOOKUP((Data[Rev]-Data[Exp])/Data[Rev],DefineProfit[])=DefineProfit[[#This Row],[Label]])*(LOOKUP(Data[Rev],$A$11:$B$14)=G$23)&lt;&gt;0,1,0))</f>
        <v>1</v>
      </c>
      <c r="H24" s="50">
        <f t="array" ref="H24">SUM(IF((LOOKUP((Data[Rev]-Data[Exp])/Data[Rev],DefineProfit[])=DefineProfit[[#This Row],[Label]])*(LOOKUP(Data[Rev],$A$11:$B$14)=H$23)&lt;&gt;0,1,0))</f>
        <v>1</v>
      </c>
      <c r="I24" s="51" t="b">
        <f>SUM(E24:H24)=D24</f>
        <v>1</v>
      </c>
      <c r="J24" s="52">
        <f t="array" ref="J24">IF(E24&lt;&gt;0,AVERAGE(IF((LOOKUP((Data[Rev]-Data[Exp])/Data[Rev],DefineProfit[])=DefineProfit[[#This Row],[Label]])*(LOOKUP(Data[Rev],DefineSize[])=J$23)&lt;&gt;0,(Data[Rev]-Data[Exp])/Data[Rev],"")),0)</f>
        <v>-0.18888888888888888</v>
      </c>
      <c r="K24" s="52">
        <f t="array" ref="K24">IF(F24&lt;&gt;0,AVERAGE(IF((LOOKUP((Data[Rev]-Data[Exp])/Data[Rev],DefineProfit[])=DefineProfit[[#This Row],[Label]])*(LOOKUP(Data[Rev],DefineSize[])=K$23)&lt;&gt;0,(Data[Rev]-Data[Exp])/Data[Rev],"")),0)</f>
        <v>-9.3783797457169985E-2</v>
      </c>
      <c r="L24" s="52">
        <f t="array" ref="L24">IF(G24&lt;&gt;0,AVERAGE(IF((LOOKUP((Data[Rev]-Data[Exp])/Data[Rev],DefineProfit[])=DefineProfit[[#This Row],[Label]])*(LOOKUP(Data[Rev],DefineSize[])=L$23)&lt;&gt;0,(Data[Rev]-Data[Exp])/Data[Rev],"")),0)</f>
        <v>-5.3630363036303627E-2</v>
      </c>
      <c r="M24" s="52">
        <f t="array" ref="M24">IF(H24&lt;&gt;0,AVERAGE(IF((LOOKUP((Data[Rev]-Data[Exp])/Data[Rev],DefineProfit[])=DefineProfit[[#This Row],[Label]])*(LOOKUP(Data[Rev],DefineSize[])=M$23)&lt;&gt;0,(Data[Rev]-Data[Exp])/Data[Rev],"")),0)</f>
        <v>-3.6725162751202946E-2</v>
      </c>
      <c r="N24" s="52"/>
    </row>
    <row r="25" spans="1:14" x14ac:dyDescent="0.55000000000000004">
      <c r="A25" s="46">
        <f>C18</f>
        <v>-2.1714272218143746E-2</v>
      </c>
      <c r="B25" s="33" t="s">
        <v>76</v>
      </c>
      <c r="C25" s="50"/>
      <c r="D25" s="50">
        <f t="array" ref="D25">SUM(IF(LOOKUP((Data[Rev]-Data[Exp])/Data[Rev],$A$24:$B$27)=$B25,1,0))</f>
        <v>7</v>
      </c>
      <c r="E25" s="50">
        <f t="array" ref="E25">SUM(IF((LOOKUP((Data[Rev]-Data[Exp])/Data[Rev],DefineProfit[])=DefineProfit[[#This Row],[Label]])*(LOOKUP(Data[Rev],$A$11:$B$14)=E$23)&lt;&gt;0,1,0))</f>
        <v>1</v>
      </c>
      <c r="F25" s="50">
        <f t="array" ref="F25">SUM(IF((LOOKUP((Data[Rev]-Data[Exp])/Data[Rev],DefineProfit[])=DefineProfit[[#This Row],[Label]])*(LOOKUP(Data[Rev],$A$11:$B$14)=F$23)&lt;&gt;0,1,0))</f>
        <v>1</v>
      </c>
      <c r="G25" s="50">
        <f t="array" ref="G25">SUM(IF((LOOKUP((Data[Rev]-Data[Exp])/Data[Rev],DefineProfit[])=DefineProfit[[#This Row],[Label]])*(LOOKUP(Data[Rev],$A$11:$B$14)=G$23)&lt;&gt;0,1,0))</f>
        <v>3</v>
      </c>
      <c r="H25" s="50">
        <f t="array" ref="H25">SUM(IF((LOOKUP((Data[Rev]-Data[Exp])/Data[Rev],DefineProfit[])=DefineProfit[[#This Row],[Label]])*(LOOKUP(Data[Rev],$A$11:$B$14)=H$23)&lt;&gt;0,1,0))</f>
        <v>2</v>
      </c>
      <c r="I25" s="51" t="b">
        <f t="shared" ref="I25:I27" si="1">SUM(E25:H25)=D25</f>
        <v>1</v>
      </c>
      <c r="J25" s="52">
        <f t="array" ref="J25">IF(E25&lt;&gt;0,AVERAGE(IF((LOOKUP((Data[Rev]-Data[Exp])/Data[Rev],DefineProfit[])=DefineProfit[[#This Row],[Label]])*(LOOKUP(Data[Rev],DefineSize[])=J$23)&lt;&gt;0,(Data[Rev]-Data[Exp])/Data[Rev],"")),0)</f>
        <v>5.4945054945054944E-2</v>
      </c>
      <c r="K25" s="52">
        <f t="array" ref="K25">IF(F25&lt;&gt;0,AVERAGE(IF((LOOKUP((Data[Rev]-Data[Exp])/Data[Rev],DefineProfit[])=DefineProfit[[#This Row],[Label]])*(LOOKUP(Data[Rev],DefineSize[])=K$23)&lt;&gt;0,(Data[Rev]-Data[Exp])/Data[Rev],"")),0)</f>
        <v>4.8275862068965517E-2</v>
      </c>
      <c r="L25" s="52">
        <f t="array" ref="L25">IF(G25&lt;&gt;0,AVERAGE(IF((LOOKUP((Data[Rev]-Data[Exp])/Data[Rev],DefineProfit[])=DefineProfit[[#This Row],[Label]])*(LOOKUP(Data[Rev],DefineSize[])=L$23)&lt;&gt;0,(Data[Rev]-Data[Exp])/Data[Rev],"")),0)</f>
        <v>3.145098630546795E-2</v>
      </c>
      <c r="M25" s="52">
        <f t="array" ref="M25">IF(H25&lt;&gt;0,AVERAGE(IF((LOOKUP((Data[Rev]-Data[Exp])/Data[Rev],DefineProfit[])=DefineProfit[[#This Row],[Label]])*(LOOKUP(Data[Rev],DefineSize[])=M$23)&lt;&gt;0,(Data[Rev]-Data[Exp])/Data[Rev],"")),0)</f>
        <v>3.2810125110048396E-2</v>
      </c>
      <c r="N25" s="52"/>
    </row>
    <row r="26" spans="1:14" x14ac:dyDescent="0.55000000000000004">
      <c r="A26" s="46">
        <f>C19</f>
        <v>7.1406046135297219E-2</v>
      </c>
      <c r="B26" s="33" t="s">
        <v>78</v>
      </c>
      <c r="C26" s="50"/>
      <c r="D26" s="50">
        <f t="array" ref="D26">SUM(IF(LOOKUP((Data[Rev]-Data[Exp])/Data[Rev],$A$24:$B$27)=$B26,1,0))</f>
        <v>6</v>
      </c>
      <c r="E26" s="50">
        <f t="array" ref="E26">SUM(IF((LOOKUP((Data[Rev]-Data[Exp])/Data[Rev],DefineProfit[])=DefineProfit[[#This Row],[Label]])*(LOOKUP(Data[Rev],$A$11:$B$14)=E$23)&lt;&gt;0,1,0))</f>
        <v>1</v>
      </c>
      <c r="F26" s="50">
        <f t="array" ref="F26">SUM(IF((LOOKUP((Data[Rev]-Data[Exp])/Data[Rev],DefineProfit[])=DefineProfit[[#This Row],[Label]])*(LOOKUP(Data[Rev],$A$11:$B$14)=F$23)&lt;&gt;0,1,0))</f>
        <v>0</v>
      </c>
      <c r="G26" s="50">
        <f t="array" ref="G26">SUM(IF((LOOKUP((Data[Rev]-Data[Exp])/Data[Rev],DefineProfit[])=DefineProfit[[#This Row],[Label]])*(LOOKUP(Data[Rev],$A$11:$B$14)=G$23)&lt;&gt;0,1,0))</f>
        <v>2</v>
      </c>
      <c r="H26" s="50">
        <f t="array" ref="H26">SUM(IF((LOOKUP((Data[Rev]-Data[Exp])/Data[Rev],DefineProfit[])=DefineProfit[[#This Row],[Label]])*(LOOKUP(Data[Rev],$A$11:$B$14)=H$23)&lt;&gt;0,1,0))</f>
        <v>3</v>
      </c>
      <c r="I26" s="51" t="b">
        <f t="shared" si="1"/>
        <v>1</v>
      </c>
      <c r="J26" s="52">
        <f t="array" ref="J26">IF(E26&lt;&gt;0,AVERAGE(IF((LOOKUP((Data[Rev]-Data[Exp])/Data[Rev],DefineProfit[])=DefineProfit[[#This Row],[Label]])*(LOOKUP(Data[Rev],DefineSize[])=J$23)&lt;&gt;0,(Data[Rev]-Data[Exp])/Data[Rev],"")),0)</f>
        <v>0.22988505747126436</v>
      </c>
      <c r="K26" s="52">
        <f t="array" ref="K26">IF(F26&lt;&gt;0,AVERAGE(IF((LOOKUP((Data[Rev]-Data[Exp])/Data[Rev],DefineProfit[])=DefineProfit[[#This Row],[Label]])*(LOOKUP(Data[Rev],DefineSize[])=K$23)&lt;&gt;0,(Data[Rev]-Data[Exp])/Data[Rev],"")),0)</f>
        <v>0</v>
      </c>
      <c r="L26" s="52">
        <f t="array" ref="L26">IF(G26&lt;&gt;0,AVERAGE(IF((LOOKUP((Data[Rev]-Data[Exp])/Data[Rev],DefineProfit[])=DefineProfit[[#This Row],[Label]])*(LOOKUP(Data[Rev],DefineSize[])=L$23)&lt;&gt;0,(Data[Rev]-Data[Exp])/Data[Rev],"")),0)</f>
        <v>0.14774266964032368</v>
      </c>
      <c r="M26" s="52">
        <f t="array" ref="M26">IF(H26&lt;&gt;0,AVERAGE(IF((LOOKUP((Data[Rev]-Data[Exp])/Data[Rev],DefineProfit[])=DefineProfit[[#This Row],[Label]])*(LOOKUP(Data[Rev],DefineSize[])=M$23)&lt;&gt;0,(Data[Rev]-Data[Exp])/Data[Rev],"")),0)</f>
        <v>8.5771519840017851E-2</v>
      </c>
      <c r="N26" s="52"/>
    </row>
    <row r="27" spans="1:14" x14ac:dyDescent="0.55000000000000004">
      <c r="A27" s="46">
        <f>C20</f>
        <v>0.25</v>
      </c>
      <c r="B27" s="33" t="s">
        <v>102</v>
      </c>
      <c r="C27" s="50"/>
      <c r="D27" s="50">
        <f t="array" ref="D27">SUM(IF(LOOKUP((Data[Rev]-Data[Exp])/Data[Rev],$A$24:$B$27)=$B27,1,0))</f>
        <v>7</v>
      </c>
      <c r="E27" s="50">
        <f t="array" ref="E27">SUM(IF((LOOKUP((Data[Rev]-Data[Exp])/Data[Rev],DefineProfit[])=DefineProfit[[#This Row],[Label]])*(LOOKUP(Data[Rev],$A$11:$B$14)=E$23)&lt;&gt;0,1,0))</f>
        <v>3</v>
      </c>
      <c r="F27" s="50">
        <f t="array" ref="F27">SUM(IF((LOOKUP((Data[Rev]-Data[Exp])/Data[Rev],DefineProfit[])=DefineProfit[[#This Row],[Label]])*(LOOKUP(Data[Rev],$A$11:$B$14)=F$23)&lt;&gt;0,1,0))</f>
        <v>3</v>
      </c>
      <c r="G27" s="50">
        <f t="array" ref="G27">SUM(IF((LOOKUP((Data[Rev]-Data[Exp])/Data[Rev],DefineProfit[])=DefineProfit[[#This Row],[Label]])*(LOOKUP(Data[Rev],$A$11:$B$14)=G$23)&lt;&gt;0,1,0))</f>
        <v>1</v>
      </c>
      <c r="H27" s="50">
        <f t="array" ref="H27">SUM(IF((LOOKUP((Data[Rev]-Data[Exp])/Data[Rev],DefineProfit[])=DefineProfit[[#This Row],[Label]])*(LOOKUP(Data[Rev],$A$11:$B$14)=H$23)&lt;&gt;0,1,0))</f>
        <v>0</v>
      </c>
      <c r="I27" s="51" t="b">
        <f t="shared" si="1"/>
        <v>1</v>
      </c>
      <c r="J27" s="52">
        <f t="array" ref="J27">IF(E27&lt;&gt;0,AVERAGE(IF((LOOKUP((Data[Rev]-Data[Exp])/Data[Rev],DefineProfit[])=DefineProfit[[#This Row],[Label]])*(LOOKUP(Data[Rev],DefineSize[])=J$23)&lt;&gt;0,(Data[Rev]-Data[Exp])/Data[Rev],"")),0)</f>
        <v>0.33359410295251007</v>
      </c>
      <c r="K27" s="52">
        <f t="array" ref="K27">IF(F27&lt;&gt;0,AVERAGE(IF((LOOKUP((Data[Rev]-Data[Exp])/Data[Rev],DefineProfit[])=DefineProfit[[#This Row],[Label]])*(LOOKUP(Data[Rev],DefineSize[])=K$23)&lt;&gt;0,(Data[Rev]-Data[Exp])/Data[Rev],"")),0)</f>
        <v>0.3209022976464837</v>
      </c>
      <c r="L27" s="52">
        <f t="array" ref="L27">IF(G27&lt;&gt;0,AVERAGE(IF((LOOKUP((Data[Rev]-Data[Exp])/Data[Rev],DefineProfit[])=DefineProfit[[#This Row],[Label]])*(LOOKUP(Data[Rev],DefineSize[])=L$23)&lt;&gt;0,(Data[Rev]-Data[Exp])/Data[Rev],"")),0)</f>
        <v>0.25</v>
      </c>
      <c r="M27" s="52">
        <f t="array" ref="M27">IF(H27&lt;&gt;0,AVERAGE(IF((LOOKUP((Data[Rev]-Data[Exp])/Data[Rev],DefineProfit[])=DefineProfit[[#This Row],[Label]])*(LOOKUP(Data[Rev],DefineSize[])=M$23)&lt;&gt;0,(Data[Rev]-Data[Exp])/Data[Rev],"")),0)</f>
        <v>0</v>
      </c>
      <c r="N27" s="52"/>
    </row>
    <row r="28" spans="1:14" x14ac:dyDescent="0.55000000000000004">
      <c r="B28" s="33" t="s">
        <v>82</v>
      </c>
      <c r="C28" s="50"/>
      <c r="D28" s="54">
        <f>SUM(D24:D27)</f>
        <v>26</v>
      </c>
      <c r="E28" s="54">
        <f>SUM(E24:E27)</f>
        <v>6</v>
      </c>
      <c r="F28" s="54">
        <f t="shared" ref="F28:H28" si="2">SUM(F24:F27)</f>
        <v>7</v>
      </c>
      <c r="G28" s="54">
        <f t="shared" si="2"/>
        <v>7</v>
      </c>
      <c r="H28" s="54">
        <f t="shared" si="2"/>
        <v>6</v>
      </c>
      <c r="I28" s="59" t="b">
        <f t="array" ref="I28">E28:H28=TRANSPOSE(D11:D14)</f>
        <v>1</v>
      </c>
      <c r="J28" s="60">
        <f t="array" ref="J28">SUM(E24:E27*J24:J27)/SUM(E24:E27)</f>
        <v>0.18278725539749344</v>
      </c>
      <c r="K28" s="60">
        <f t="array" ref="K28">SUM(F24:F27*K24:K27)/SUM(F24:F27)</f>
        <v>0.10423305180527238</v>
      </c>
      <c r="L28" s="60">
        <f t="array" ref="L28">SUM(G24:G27*L24:L27)/SUM(G24:G27)</f>
        <v>8.3743990737249668E-2</v>
      </c>
      <c r="M28" s="60">
        <f t="array" ref="M28">SUM(H24:H27*M24:M27)/SUM(H24:H27)</f>
        <v>4.7701607831491237E-2</v>
      </c>
      <c r="N28" s="59" t="b">
        <f t="array" ref="N28">J28:M28=TRANSPOSE(L11:L14)</f>
        <v>1</v>
      </c>
    </row>
    <row r="29" spans="1:14" x14ac:dyDescent="0.55000000000000004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9" t="b">
        <f>SUMPRODUCT(J24:M27,E24:H27)=SUMPRODUCT(L11:L14,D11:D14)</f>
        <v>1</v>
      </c>
    </row>
    <row r="30" spans="1:14" x14ac:dyDescent="0.55000000000000004">
      <c r="A30" s="44" t="s">
        <v>114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9"/>
    </row>
    <row r="31" spans="1:14" ht="16" thickBot="1" x14ac:dyDescent="0.6">
      <c r="A31" s="36" t="s">
        <v>86</v>
      </c>
      <c r="B31" s="36" t="s">
        <v>55</v>
      </c>
      <c r="C31" s="35" t="s">
        <v>87</v>
      </c>
    </row>
    <row r="32" spans="1:14" ht="16.350000000000001" thickTop="1" thickBot="1" x14ac:dyDescent="0.6">
      <c r="A32" s="87" t="s">
        <v>28</v>
      </c>
      <c r="B32" s="88" t="s">
        <v>88</v>
      </c>
      <c r="C32" s="77">
        <f t="array" ref="C32">SUM(IF(Data[Prov]=DefineRegion[[#This Row],[Province]],1,0))</f>
        <v>1</v>
      </c>
      <c r="D32" s="5" t="str">
        <f ca="1">_xlfn.FORMULATEXT(C32)</f>
        <v>{=SUM(IF(Data[Prov]=DefineRegion[@Province],1,0))}</v>
      </c>
    </row>
    <row r="33" spans="1:13" ht="16.350000000000001" thickTop="1" thickBot="1" x14ac:dyDescent="0.6">
      <c r="A33" s="87" t="s">
        <v>15</v>
      </c>
      <c r="B33" s="88" t="s">
        <v>91</v>
      </c>
      <c r="C33" s="77">
        <f t="array" ref="C33">SUM(IF(Data[Prov]=DefineRegion[[#This Row],[Province]],1,0))</f>
        <v>4</v>
      </c>
      <c r="D33" s="5" t="str">
        <f t="shared" ref="D33:D37" ca="1" si="3">_xlfn.FORMULATEXT(C33)</f>
        <v>{=SUM(IF(Data[Prov]=DefineRegion[@Province],1,0))}</v>
      </c>
    </row>
    <row r="34" spans="1:13" ht="16.350000000000001" thickTop="1" thickBot="1" x14ac:dyDescent="0.6">
      <c r="A34" s="87" t="s">
        <v>24</v>
      </c>
      <c r="B34" s="88" t="s">
        <v>88</v>
      </c>
      <c r="C34" s="77">
        <f t="array" ref="C34">SUM(IF(Data[Prov]=DefineRegion[[#This Row],[Province]],1,0))</f>
        <v>2</v>
      </c>
      <c r="D34" s="5" t="str">
        <f t="shared" ca="1" si="3"/>
        <v>{=SUM(IF(Data[Prov]=DefineRegion[@Province],1,0))}</v>
      </c>
    </row>
    <row r="35" spans="1:13" ht="16.350000000000001" thickTop="1" thickBot="1" x14ac:dyDescent="0.6">
      <c r="A35" s="87" t="s">
        <v>17</v>
      </c>
      <c r="B35" s="88" t="s">
        <v>89</v>
      </c>
      <c r="C35" s="77">
        <f t="array" ref="C35">SUM(IF(Data[Prov]=DefineRegion[[#This Row],[Province]],1,0))</f>
        <v>9</v>
      </c>
      <c r="D35" s="5" t="str">
        <f t="shared" ca="1" si="3"/>
        <v>{=SUM(IF(Data[Prov]=DefineRegion[@Province],1,0))}</v>
      </c>
    </row>
    <row r="36" spans="1:13" ht="16.350000000000001" thickTop="1" thickBot="1" x14ac:dyDescent="0.6">
      <c r="A36" s="87" t="s">
        <v>13</v>
      </c>
      <c r="B36" s="88" t="s">
        <v>90</v>
      </c>
      <c r="C36" s="77">
        <f t="array" ref="C36">SUM(IF(Data[Prov]=DefineRegion[[#This Row],[Province]],1,0))</f>
        <v>8</v>
      </c>
      <c r="D36" s="5" t="str">
        <f t="shared" ca="1" si="3"/>
        <v>{=SUM(IF(Data[Prov]=DefineRegion[@Province],1,0))}</v>
      </c>
    </row>
    <row r="37" spans="1:13" ht="16.350000000000001" thickTop="1" thickBot="1" x14ac:dyDescent="0.6">
      <c r="A37" s="87" t="s">
        <v>21</v>
      </c>
      <c r="B37" s="88" t="s">
        <v>88</v>
      </c>
      <c r="C37" s="77">
        <f t="array" ref="C37">SUM(IF(Data[Prov]=DefineRegion[[#This Row],[Province]],1,0))</f>
        <v>2</v>
      </c>
      <c r="D37" s="5" t="str">
        <f t="shared" ca="1" si="3"/>
        <v>{=SUM(IF(Data[Prov]=DefineRegion[@Province],1,0))}</v>
      </c>
    </row>
    <row r="38" spans="1:13" ht="16" thickTop="1" x14ac:dyDescent="0.55000000000000004">
      <c r="A38"/>
      <c r="B38" s="33" t="s">
        <v>95</v>
      </c>
      <c r="C38" s="63">
        <f>SUM(C32:C37)</f>
        <v>26</v>
      </c>
    </row>
    <row r="39" spans="1:13" x14ac:dyDescent="0.55000000000000004">
      <c r="A39"/>
      <c r="B39" s="33"/>
      <c r="C39" s="63"/>
    </row>
    <row r="40" spans="1:13" x14ac:dyDescent="0.55000000000000004">
      <c r="E40" s="92" t="s">
        <v>97</v>
      </c>
      <c r="F40" s="92"/>
      <c r="G40" s="92"/>
      <c r="H40" s="92"/>
      <c r="J40" s="92" t="s">
        <v>96</v>
      </c>
      <c r="K40" s="92"/>
      <c r="L40" s="92"/>
      <c r="M40" s="92"/>
    </row>
    <row r="41" spans="1:13" ht="16" thickBot="1" x14ac:dyDescent="0.6">
      <c r="A41"/>
      <c r="B41" s="3" t="s">
        <v>55</v>
      </c>
      <c r="D41" s="59" t="s">
        <v>66</v>
      </c>
      <c r="E41" s="35" t="str">
        <f t="array" ref="E41:H41">TRANSPOSE(DefineSize[Label])</f>
        <v>Micro</v>
      </c>
      <c r="F41" s="35" t="str">
        <v>Small</v>
      </c>
      <c r="G41" s="35" t="str">
        <v>Medium</v>
      </c>
      <c r="H41" s="35" t="str">
        <v>Large</v>
      </c>
      <c r="I41" s="35" t="s">
        <v>79</v>
      </c>
      <c r="J41" s="35" t="s">
        <v>92</v>
      </c>
      <c r="K41" s="35" t="s">
        <v>93</v>
      </c>
      <c r="L41" s="35" t="s">
        <v>94</v>
      </c>
      <c r="M41" s="35" t="s">
        <v>82</v>
      </c>
    </row>
    <row r="42" spans="1:13" ht="16.350000000000001" thickTop="1" thickBot="1" x14ac:dyDescent="0.6">
      <c r="A42"/>
      <c r="B42" s="33" t="s">
        <v>91</v>
      </c>
      <c r="D42" s="77">
        <f t="array" ref="D42">SUM(IF(LOOKUP(Data[Prov],DefineRegion[])=$B42,1,0))</f>
        <v>4</v>
      </c>
      <c r="E42" s="71">
        <f t="array" ref="E42">SUM(IF((LOOKUP(Data[Prov],DefineRegion[])=$B42)*(LOOKUP(Data[Rev],DefineSize[])=E$41)&lt;&gt;0,1,0))</f>
        <v>1</v>
      </c>
      <c r="F42" s="50">
        <f t="array" ref="F42">SUM(IF((LOOKUP(Data[Prov],DefineRegion[])=$B42)*(LOOKUP(Data[Rev],DefineSize[])=F$41)&lt;&gt;0,1,0))</f>
        <v>1</v>
      </c>
      <c r="G42" s="50">
        <f t="array" ref="G42">SUM(IF((LOOKUP(Data[Prov],DefineRegion[])=$B42)*(LOOKUP(Data[Rev],DefineSize[])=G$41)&lt;&gt;0,1,0))</f>
        <v>1</v>
      </c>
      <c r="H42" s="50">
        <f t="array" ref="H42">SUM(IF((LOOKUP(Data[Prov],DefineRegion[])=$B42)*(LOOKUP(Data[Rev],DefineSize[])=H$41)&lt;&gt;0,1,0))</f>
        <v>1</v>
      </c>
      <c r="I42" s="78" t="b">
        <f>SUM(E42:H42)=D42</f>
        <v>1</v>
      </c>
      <c r="J42" s="75">
        <f t="array" aca="1" ref="J42" ca="1">AVERAGE(IF(LOOKUP(Data[Prov],DefineRegion[])=$B42,(Data[Rev]*INDIRECT("Data[Rev%"&amp;J$41&amp;"]")-Data[Exp]*INDIRECT("Data[Exp%"&amp;J$41&amp;"]"))/(Data[Rev]*INDIRECT("Data[Rev%"&amp;J$41&amp;"]")),""))</f>
        <v>0.1426547993081681</v>
      </c>
      <c r="K42" s="52">
        <f t="array" aca="1" ref="K42" ca="1">AVERAGE(IF(LOOKUP(Data[Prov],DefineRegion[])=$B42,(Data[Rev]*INDIRECT("Data[Rev%"&amp;K$41&amp;"]")-Data[Exp]*INDIRECT("Data[Exp%"&amp;K$41&amp;"]"))/(Data[Rev]*INDIRECT("Data[Rev%"&amp;K$41&amp;"]")),""))</f>
        <v>1.0179731853826007E-2</v>
      </c>
      <c r="L42" s="52">
        <f t="array" aca="1" ref="L42" ca="1">AVERAGE(IF(LOOKUP(Data[Prov],DefineRegion[])=$B42,(Data[Rev]*INDIRECT("Data[Rev%"&amp;L$41&amp;"]")-Data[Exp]*INDIRECT("Data[Exp%"&amp;L$41&amp;"]"))/(Data[Rev]*INDIRECT("Data[Rev%"&amp;L$41&amp;"]")),""))</f>
        <v>-1.4904126484533917E-2</v>
      </c>
      <c r="M42" s="79">
        <f t="array" ref="M42">AVERAGE(IF(LOOKUP(Data[Prov],DefineRegion[])=$B42,(Data[Rev]-Data[Exp])/Data[Rev],""))</f>
        <v>8.9035329767460022E-2</v>
      </c>
    </row>
    <row r="43" spans="1:13" ht="16" thickTop="1" x14ac:dyDescent="0.55000000000000004">
      <c r="A43"/>
      <c r="B43" s="33" t="s">
        <v>88</v>
      </c>
      <c r="D43" s="50">
        <f t="array" ref="D43">SUM(IF(LOOKUP(Data[Prov],$A$32:$B$37)=$B43,1,0))</f>
        <v>5</v>
      </c>
      <c r="E43" s="50">
        <f t="array" ref="E43">SUM(IF((LOOKUP(Data[Prov],DefineRegion[])=$B43)*(LOOKUP(Data[Rev],DefineSize[])=E$41)&lt;&gt;0,1,0))</f>
        <v>2</v>
      </c>
      <c r="F43" s="50">
        <f t="array" ref="F43">SUM(IF((LOOKUP(Data[Prov],DefineRegion[])=$B43)*(LOOKUP(Data[Rev],DefineSize[])=F$41)&lt;&gt;0,1,0))</f>
        <v>3</v>
      </c>
      <c r="G43" s="50">
        <f t="array" ref="G43">SUM(IF((LOOKUP(Data[Prov],DefineRegion[])=$B43)*(LOOKUP(Data[Rev],DefineSize[])=G$41)&lt;&gt;0,1,0))</f>
        <v>0</v>
      </c>
      <c r="H43" s="50">
        <f t="array" ref="H43">SUM(IF((LOOKUP(Data[Prov],DefineRegion[])=$B43)*(LOOKUP(Data[Rev],DefineSize[])=H$41)&lt;&gt;0,1,0))</f>
        <v>0</v>
      </c>
      <c r="I43" s="64" t="b">
        <f t="shared" ref="I43:I45" si="4">SUM(E43:H43)=D43</f>
        <v>1</v>
      </c>
      <c r="J43" s="52">
        <f t="array" aca="1" ref="J43" ca="1">AVERAGE(IF(LOOKUP(Data[Prov],DefineRegion[])=$B43,(Data[Rev]*INDIRECT("Data[Rev%"&amp;J$41&amp;"]")-Data[Exp]*INDIRECT("Data[Exp%"&amp;J$41&amp;"]"))/(Data[Rev]*INDIRECT("Data[Rev%"&amp;J$41&amp;"]")),""))</f>
        <v>0.10306358323805129</v>
      </c>
      <c r="K43" s="52">
        <f t="array" aca="1" ref="K43" ca="1">AVERAGE(IF(LOOKUP(Data[Prov],DefineRegion[])=$B43,(Data[Rev]*INDIRECT("Data[Rev%"&amp;K$41&amp;"]")-Data[Exp]*INDIRECT("Data[Exp%"&amp;K$41&amp;"]"))/(Data[Rev]*INDIRECT("Data[Rev%"&amp;K$41&amp;"]")),""))</f>
        <v>0.38485283361986261</v>
      </c>
      <c r="L43" s="52">
        <f t="array" aca="1" ref="L43" ca="1">AVERAGE(IF(LOOKUP(Data[Prov],DefineRegion[])=$B43,(Data[Rev]*INDIRECT("Data[Rev%"&amp;L$41&amp;"]")-Data[Exp]*INDIRECT("Data[Exp%"&amp;L$41&amp;"]"))/(Data[Rev]*INDIRECT("Data[Rev%"&amp;L$41&amp;"]")),""))</f>
        <v>7.1276791401226006E-3</v>
      </c>
      <c r="M43" s="52">
        <f t="array" ref="M43">AVERAGE(IF(LOOKUP(Data[Prov],$A$32:$B$37)=$B43,(Data[Rev]-Data[Exp])/Data[Rev],""))</f>
        <v>0.11301521391463867</v>
      </c>
    </row>
    <row r="44" spans="1:13" x14ac:dyDescent="0.55000000000000004">
      <c r="A44"/>
      <c r="B44" s="33" t="s">
        <v>89</v>
      </c>
      <c r="D44" s="50">
        <f t="array" ref="D44">SUM(IF(LOOKUP(Data[Prov],$A$32:$B$37)=$B44,1,0))</f>
        <v>9</v>
      </c>
      <c r="E44" s="50">
        <f t="array" ref="E44">SUM(IF((LOOKUP(Data[Prov],DefineRegion[])=$B44)*(LOOKUP(Data[Rev],DefineSize[])=E$41)&lt;&gt;0,1,0))</f>
        <v>1</v>
      </c>
      <c r="F44" s="50">
        <f t="array" ref="F44">SUM(IF((LOOKUP(Data[Prov],DefineRegion[])=$B44)*(LOOKUP(Data[Rev],DefineSize[])=F$41)&lt;&gt;0,1,0))</f>
        <v>3</v>
      </c>
      <c r="G44" s="50">
        <f t="array" ref="G44">SUM(IF((LOOKUP(Data[Prov],DefineRegion[])=$B44)*(LOOKUP(Data[Rev],DefineSize[])=G$41)&lt;&gt;0,1,0))</f>
        <v>3</v>
      </c>
      <c r="H44" s="50">
        <f t="array" ref="H44">SUM(IF((LOOKUP(Data[Prov],DefineRegion[])=$B44)*(LOOKUP(Data[Rev],DefineSize[])=H$41)&lt;&gt;0,1,0))</f>
        <v>2</v>
      </c>
      <c r="I44" s="64" t="b">
        <f t="shared" si="4"/>
        <v>1</v>
      </c>
      <c r="J44" s="52">
        <f t="array" aca="1" ref="J44" ca="1">AVERAGE(IF(LOOKUP(Data[Prov],DefineRegion[])=$B44,(Data[Rev]*INDIRECT("Data[Rev%"&amp;J$41&amp;"]")-Data[Exp]*INDIRECT("Data[Exp%"&amp;J$41&amp;"]"))/(Data[Rev]*INDIRECT("Data[Rev%"&amp;J$41&amp;"]")),""))</f>
        <v>0.12838720424422051</v>
      </c>
      <c r="K44" s="52">
        <f t="array" aca="1" ref="K44" ca="1">AVERAGE(IF(LOOKUP(Data[Prov],DefineRegion[])=$B44,(Data[Rev]*INDIRECT("Data[Rev%"&amp;K$41&amp;"]")-Data[Exp]*INDIRECT("Data[Exp%"&amp;K$41&amp;"]"))/(Data[Rev]*INDIRECT("Data[Rev%"&amp;K$41&amp;"]")),""))</f>
        <v>0.21729273525653461</v>
      </c>
      <c r="L44" s="52">
        <f t="array" aca="1" ref="L44" ca="1">AVERAGE(IF(LOOKUP(Data[Prov],DefineRegion[])=$B44,(Data[Rev]*INDIRECT("Data[Rev%"&amp;L$41&amp;"]")-Data[Exp]*INDIRECT("Data[Exp%"&amp;L$41&amp;"]"))/(Data[Rev]*INDIRECT("Data[Rev%"&amp;L$41&amp;"]")),""))</f>
        <v>-2.5877231743122994E-2</v>
      </c>
      <c r="M44" s="52">
        <f t="array" ref="M44">AVERAGE(IF(LOOKUP(Data[Prov],$A$32:$B$37)=$B44,(Data[Rev]-Data[Exp])/Data[Rev],""))</f>
        <v>0.12446592611489396</v>
      </c>
    </row>
    <row r="45" spans="1:13" x14ac:dyDescent="0.55000000000000004">
      <c r="A45"/>
      <c r="B45" s="33" t="s">
        <v>90</v>
      </c>
      <c r="D45" s="50">
        <f t="array" ref="D45">SUM(IF(LOOKUP(Data[Prov],$A$32:$B$37)=$B45,1,0))</f>
        <v>8</v>
      </c>
      <c r="E45" s="50">
        <f t="array" ref="E45">SUM(IF((LOOKUP(Data[Prov],DefineRegion[])=$B45)*(LOOKUP(Data[Rev],DefineSize[])=E$41)&lt;&gt;0,1,0))</f>
        <v>2</v>
      </c>
      <c r="F45" s="50">
        <f t="array" ref="F45">SUM(IF((LOOKUP(Data[Prov],DefineRegion[])=$B45)*(LOOKUP(Data[Rev],DefineSize[])=F$41)&lt;&gt;0,1,0))</f>
        <v>0</v>
      </c>
      <c r="G45" s="50">
        <f t="array" ref="G45">SUM(IF((LOOKUP(Data[Prov],DefineRegion[])=$B45)*(LOOKUP(Data[Rev],DefineSize[])=G$41)&lt;&gt;0,1,0))</f>
        <v>3</v>
      </c>
      <c r="H45" s="50">
        <f t="array" ref="H45">SUM(IF((LOOKUP(Data[Prov],DefineRegion[])=$B45)*(LOOKUP(Data[Rev],DefineSize[])=H$41)&lt;&gt;0,1,0))</f>
        <v>3</v>
      </c>
      <c r="I45" s="64" t="b">
        <f t="shared" si="4"/>
        <v>1</v>
      </c>
      <c r="J45" s="52">
        <f t="array" aca="1" ref="J45" ca="1">AVERAGE(IF(LOOKUP(Data[Prov],DefineRegion[])=$B45,(Data[Rev]*INDIRECT("Data[Rev%"&amp;J$41&amp;"]")-Data[Exp]*INDIRECT("Data[Exp%"&amp;J$41&amp;"]"))/(Data[Rev]*INDIRECT("Data[Rev%"&amp;J$41&amp;"]")),""))</f>
        <v>7.0538656798402169E-2</v>
      </c>
      <c r="K45" s="52">
        <f t="array" aca="1" ref="K45" ca="1">AVERAGE(IF(LOOKUP(Data[Prov],DefineRegion[])=$B45,(Data[Rev]*INDIRECT("Data[Rev%"&amp;K$41&amp;"]")-Data[Exp]*INDIRECT("Data[Exp%"&amp;K$41&amp;"]"))/(Data[Rev]*INDIRECT("Data[Rev%"&amp;K$41&amp;"]")),""))</f>
        <v>0.10141004201734947</v>
      </c>
      <c r="L45" s="52">
        <f t="array" aca="1" ref="L45" ca="1">AVERAGE(IF(LOOKUP(Data[Prov],DefineRegion[])=$B45,(Data[Rev]*INDIRECT("Data[Rev%"&amp;L$41&amp;"]")-Data[Exp]*INDIRECT("Data[Exp%"&amp;L$41&amp;"]"))/(Data[Rev]*INDIRECT("Data[Rev%"&amp;L$41&amp;"]")),""))</f>
        <v>4.7953078969029825E-2</v>
      </c>
      <c r="M45" s="52">
        <f t="array" ref="M45">AVERAGE(IF(LOOKUP(Data[Prov],$A$32:$B$37)=$B45,(Data[Rev]-Data[Exp])/Data[Rev],""))</f>
        <v>8.2170219186810417E-2</v>
      </c>
    </row>
    <row r="46" spans="1:13" x14ac:dyDescent="0.55000000000000004">
      <c r="A46"/>
      <c r="B46" s="33" t="s">
        <v>79</v>
      </c>
      <c r="D46" t="b">
        <f>SUM(D42:D45)=C38</f>
        <v>1</v>
      </c>
    </row>
    <row r="47" spans="1:13" x14ac:dyDescent="0.55000000000000004">
      <c r="A47"/>
    </row>
    <row r="48" spans="1:13" x14ac:dyDescent="0.55000000000000004">
      <c r="A48" s="41" t="s">
        <v>65</v>
      </c>
    </row>
    <row r="49" spans="1:4" x14ac:dyDescent="0.55000000000000004">
      <c r="A49" s="90" t="s">
        <v>66</v>
      </c>
      <c r="B49" s="90"/>
      <c r="C49" s="32" t="str">
        <f>"(Cell "&amp;ADDRESS(ROW(D42),COLUMN(D42),4,1)&amp;")"</f>
        <v>(Cell D42)</v>
      </c>
      <c r="D49" s="5" t="str">
        <f ca="1">_xlfn.FORMULATEXT(D42)</f>
        <v>{=SUM(IF(LOOKUP(Data[Prov],DefineRegion)=$B42,1,0))}</v>
      </c>
    </row>
    <row r="50" spans="1:4" x14ac:dyDescent="0.55000000000000004">
      <c r="A50" s="90"/>
      <c r="B50" s="90"/>
      <c r="C50" s="32" t="str">
        <f>"(Cell "&amp;ADDRESS(ROW(D46),COLUMN(D46),4,1)&amp;")"</f>
        <v>(Cell D46)</v>
      </c>
      <c r="D50" s="5" t="str">
        <f ca="1">_xlfn.FORMULATEXT(D46)</f>
        <v>=SUM(D42:D45)=C38</v>
      </c>
    </row>
    <row r="51" spans="1:4" x14ac:dyDescent="0.55000000000000004">
      <c r="A51" s="33" t="s">
        <v>60</v>
      </c>
      <c r="C51" s="32" t="str">
        <f>"(Cell "&amp;ADDRESS(ROW(E42),COLUMN(E42),4,1)&amp;")"</f>
        <v>(Cell E42)</v>
      </c>
      <c r="D51" s="5" t="str">
        <f ca="1">_xlfn.FORMULATEXT(E42)</f>
        <v>{=SUM(IF((LOOKUP(Data[Prov],DefineRegion)=$B42)*(LOOKUP(Data[Rev],DefineSize)=E$41)&lt;&gt;0,1,0))}</v>
      </c>
    </row>
    <row r="52" spans="1:4" x14ac:dyDescent="0.55000000000000004">
      <c r="A52" s="33" t="str">
        <f>I41</f>
        <v>SUMCHECK</v>
      </c>
      <c r="C52" s="32" t="str">
        <f>"(Cell "&amp;ADDRESS(ROW(I42),COLUMN(I42),4,1)&amp;")"</f>
        <v>(Cell I42)</v>
      </c>
      <c r="D52" s="5" t="str">
        <f ca="1">_xlfn.FORMULATEXT(I42)</f>
        <v>=SUM(E42:H42)=D42</v>
      </c>
    </row>
    <row r="53" spans="1:4" x14ac:dyDescent="0.55000000000000004">
      <c r="A53" s="33" t="s">
        <v>92</v>
      </c>
      <c r="C53" s="32" t="str">
        <f>"(Cell "&amp;ADDRESS(ROW(J42),COLUMN(J42),4,1)&amp;")"</f>
        <v>(Cell J42)</v>
      </c>
      <c r="D53" s="5" t="str">
        <f ca="1">_xlfn.FORMULATEXT(J42)</f>
        <v>{=AVERAGE(IF(LOOKUP(Data[Prov],DefineRegion)=$B42,(Data[Rev]*INDIRECT("Data[Rev%"&amp;J$41&amp;"]")-Data[Exp]*INDIRECT("Data[Exp%"&amp;J$41&amp;"]"))/(Data[Rev]*INDIRECT("Data[Rev%"&amp;J$41&amp;"]")),""))}</v>
      </c>
    </row>
    <row r="54" spans="1:4" x14ac:dyDescent="0.55000000000000004">
      <c r="A54" s="33" t="str">
        <f>M41</f>
        <v>Overall</v>
      </c>
      <c r="C54" s="32" t="str">
        <f>"(Cell "&amp;ADDRESS(ROW(M42),COLUMN(M42),4,1)&amp;")"</f>
        <v>(Cell M42)</v>
      </c>
      <c r="D54" s="5" t="str">
        <f ca="1">_xlfn.FORMULATEXT(M42)</f>
        <v>{=AVERAGE(IF(LOOKUP(Data[Prov],DefineRegion)=$B42,(Data[Rev]-Data[Exp])/Data[Rev],""))}</v>
      </c>
    </row>
    <row r="55" spans="1:4" x14ac:dyDescent="0.55000000000000004">
      <c r="A55"/>
      <c r="D55" s="5"/>
    </row>
    <row r="56" spans="1:4" x14ac:dyDescent="0.55000000000000004">
      <c r="A56"/>
      <c r="D56" s="5"/>
    </row>
    <row r="57" spans="1:4" x14ac:dyDescent="0.55000000000000004">
      <c r="A57"/>
      <c r="D57" s="5"/>
    </row>
    <row r="58" spans="1:4" x14ac:dyDescent="0.55000000000000004">
      <c r="A58"/>
      <c r="D58" s="5"/>
    </row>
    <row r="59" spans="1:4" x14ac:dyDescent="0.55000000000000004">
      <c r="A59"/>
      <c r="D59" s="5"/>
    </row>
    <row r="60" spans="1:4" x14ac:dyDescent="0.55000000000000004">
      <c r="A60"/>
    </row>
    <row r="61" spans="1:4" x14ac:dyDescent="0.55000000000000004">
      <c r="A61"/>
    </row>
    <row r="62" spans="1:4" x14ac:dyDescent="0.55000000000000004">
      <c r="A62"/>
    </row>
    <row r="63" spans="1:4" x14ac:dyDescent="0.55000000000000004">
      <c r="A63"/>
    </row>
    <row r="64" spans="1:4" x14ac:dyDescent="0.55000000000000004">
      <c r="A64"/>
    </row>
  </sheetData>
  <sortState ref="A32:C37">
    <sortCondition ref="A32"/>
  </sortState>
  <mergeCells count="9">
    <mergeCell ref="A49:B50"/>
    <mergeCell ref="J40:M40"/>
    <mergeCell ref="E40:H40"/>
    <mergeCell ref="E9:F9"/>
    <mergeCell ref="G9:H9"/>
    <mergeCell ref="I9:K9"/>
    <mergeCell ref="L9:M9"/>
    <mergeCell ref="E22:H22"/>
    <mergeCell ref="J22:M22"/>
  </mergeCells>
  <conditionalFormatting sqref="J24:M27">
    <cfRule type="colorScale" priority="4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24:H27">
    <cfRule type="colorScale" priority="3">
      <colorScale>
        <cfvo type="min"/>
        <cfvo type="max"/>
        <color theme="0"/>
        <color rgb="FFFF9800"/>
      </colorScale>
    </cfRule>
  </conditionalFormatting>
  <conditionalFormatting sqref="J42:L45">
    <cfRule type="colorScale" priority="2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42:H45">
    <cfRule type="colorScale" priority="1">
      <colorScale>
        <cfvo type="min"/>
        <cfvo type="max"/>
        <color theme="0"/>
        <color rgb="FFFF9800"/>
      </colorScale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pane xSplit="3" ySplit="1" topLeftCell="D2" activePane="bottomRight" state="frozen"/>
      <selection activeCell="C12" sqref="C12"/>
      <selection pane="topRight" activeCell="C12" sqref="C12"/>
      <selection pane="bottomLeft" activeCell="C12" sqref="C12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x14ac:dyDescent="0.55000000000000004">
      <c r="A3" s="35" t="s">
        <v>53</v>
      </c>
      <c r="B3" s="33" t="s">
        <v>55</v>
      </c>
      <c r="C3" s="35" t="s">
        <v>2</v>
      </c>
    </row>
    <row r="4" spans="1:14" x14ac:dyDescent="0.55000000000000004">
      <c r="A4" s="32" t="s">
        <v>54</v>
      </c>
      <c r="B4" t="s">
        <v>56</v>
      </c>
      <c r="C4" s="56">
        <f>MIN(Data[Rev])</f>
        <v>74000</v>
      </c>
    </row>
    <row r="5" spans="1:14" x14ac:dyDescent="0.55000000000000004">
      <c r="A5" s="37">
        <v>0.25</v>
      </c>
      <c r="B5" t="s">
        <v>57</v>
      </c>
      <c r="C5" s="56">
        <f>_xlfn.PERCENTILE.EXC(Data[Rev],A5)</f>
        <v>113750</v>
      </c>
      <c r="D5" s="57"/>
    </row>
    <row r="6" spans="1:14" x14ac:dyDescent="0.55000000000000004">
      <c r="A6" s="37">
        <v>0.5</v>
      </c>
      <c r="B6" t="s">
        <v>58</v>
      </c>
      <c r="C6" s="56">
        <f>_xlfn.PERCENTILE.EXC(Data[Rev],A6)</f>
        <v>448000</v>
      </c>
      <c r="D6" s="57"/>
    </row>
    <row r="7" spans="1:14" x14ac:dyDescent="0.55000000000000004">
      <c r="A7" s="37">
        <v>0.75</v>
      </c>
      <c r="B7" t="s">
        <v>59</v>
      </c>
      <c r="C7" s="56">
        <f>_xlfn.PERCENTILE.EXC(Data[Rev],A7)</f>
        <v>16602000</v>
      </c>
      <c r="D7" s="57"/>
    </row>
    <row r="8" spans="1:14" x14ac:dyDescent="0.55000000000000004">
      <c r="A8" s="37"/>
      <c r="C8" s="34"/>
      <c r="D8" s="5"/>
    </row>
    <row r="9" spans="1:14" x14ac:dyDescent="0.55000000000000004">
      <c r="A9" s="44" t="s">
        <v>112</v>
      </c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x14ac:dyDescent="0.55000000000000004">
      <c r="A10" s="36" t="s">
        <v>64</v>
      </c>
      <c r="B10" s="36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x14ac:dyDescent="0.55000000000000004">
      <c r="A11" s="38">
        <v>74000</v>
      </c>
      <c r="B11" s="33" t="s">
        <v>60</v>
      </c>
      <c r="D11" s="6">
        <f t="array" ref="D11">SUM(IF(LOOKUP(Data[Rev],DefineSize[])=DefineSize[[#This Row],[Label]],1,0))</f>
        <v>6</v>
      </c>
      <c r="E11" s="47">
        <f t="array" ref="E11">SUM(IF(LOOKUP(Data[Rev],DefineSize[])=DefineSize[[#This Row],[Label]],Data[Rev],0))</f>
        <v>551000</v>
      </c>
      <c r="F11" s="47">
        <f t="array" ref="F11">SUM(IF(LOOKUP(Data[Rev],DefineSize[])=DefineSize[[#This Row],[Label]],Data[Exp],0))</f>
        <v>447000</v>
      </c>
      <c r="G11" s="48">
        <f t="array" ref="G11">AVERAGE(IF(LOOKUP(Data[Rev],DefineSize[])=DefineSize[[#This Row],[Label]],Data[Rev],""))</f>
        <v>91833.333333333328</v>
      </c>
      <c r="H11" s="48">
        <f t="array" ref="H11">AVERAGE(IF(LOOKUP(Data[Rev],DefineSize[])=DefineSize[[#This Row],[Label]],Data[Exp],""))</f>
        <v>74500</v>
      </c>
      <c r="I11" s="31">
        <f>(E11-F11)/E11</f>
        <v>0.18874773139745918</v>
      </c>
      <c r="J11" s="31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49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31">
        <f t="array" ref="L11">AVERAGE(IF(LOOKUP(Data[Rev],DefineSize[])=DefineSize[[#This Row],[Label]],(Data[Rev]-Data[Exp])/Data[Rev],""))</f>
        <v>0.18278725539749344</v>
      </c>
      <c r="M11" s="49">
        <f t="array" ref="M11">AVERAGE(IF(LOOKUP(Data[Rev],DefineSize[])=DefineSize[[#This Row],[Label]],Data[Happiness],""))</f>
        <v>0.83333333333333337</v>
      </c>
      <c r="N11" s="58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x14ac:dyDescent="0.55000000000000004">
      <c r="A12" s="38"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0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s="58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38"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0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s="58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38"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0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s="58" t="str">
        <f t="array" ref="N14">_xlfn.CONCAT(IF(LOOKUP(Data[Rev],DefineSize[])=DefineSize[[#This Row],[Label]],Data[Name]&amp;", ",""))</f>
        <v xml:space="preserve">Aardvark, Dingo, Narwhal, Urubu, Vertigo, Xantus, </v>
      </c>
    </row>
    <row r="16" spans="1:14" x14ac:dyDescent="0.55000000000000004">
      <c r="A16" s="35" t="s">
        <v>53</v>
      </c>
      <c r="B16" s="33" t="s">
        <v>55</v>
      </c>
      <c r="C16" s="35" t="s">
        <v>44</v>
      </c>
    </row>
    <row r="17" spans="1:14" x14ac:dyDescent="0.55000000000000004">
      <c r="A17" s="32" t="s">
        <v>54</v>
      </c>
      <c r="B17" t="s">
        <v>56</v>
      </c>
      <c r="C17" s="52">
        <f t="array" ref="C17">MIN((Data[Rev]-Data[Exp])/Data[Rev])</f>
        <v>-0.18888888888888888</v>
      </c>
      <c r="D17" s="57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55000000000000004">
      <c r="A18" s="37">
        <v>0.25</v>
      </c>
      <c r="B18" t="s">
        <v>57</v>
      </c>
      <c r="C18" s="52">
        <f t="array" ref="C18">_xlfn.PERCENTILE.EXC((Data[Rev]-Data[Exp])/Data[Rev],A18)</f>
        <v>-2.1714272218143746E-2</v>
      </c>
      <c r="D18" s="57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55000000000000004">
      <c r="A19" s="37">
        <v>0.5</v>
      </c>
      <c r="B19" t="s">
        <v>58</v>
      </c>
      <c r="C19" s="52">
        <f t="array" ref="C19">_xlfn.PERCENTILE.EXC((Data[Rev]-Data[Exp])/Data[Rev],A19)</f>
        <v>7.1406046135297219E-2</v>
      </c>
      <c r="D19" s="57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55000000000000004">
      <c r="A20" s="37">
        <v>0.75</v>
      </c>
      <c r="B20" t="s">
        <v>59</v>
      </c>
      <c r="C20" s="52">
        <f t="array" ref="C20">_xlfn.PERCENTILE.EXC((Data[Rev]-Data[Exp])/Data[Rev],A20)</f>
        <v>0.25</v>
      </c>
      <c r="D20" s="57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55000000000000004">
      <c r="C21" s="52"/>
      <c r="D21" s="57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55000000000000004">
      <c r="A22" s="44" t="s">
        <v>113</v>
      </c>
      <c r="C22" s="50"/>
      <c r="D22" s="50"/>
      <c r="E22" s="92" t="s">
        <v>80</v>
      </c>
      <c r="F22" s="92"/>
      <c r="G22" s="92"/>
      <c r="H22" s="92"/>
      <c r="I22" s="50"/>
      <c r="J22" s="92" t="s">
        <v>81</v>
      </c>
      <c r="K22" s="92"/>
      <c r="L22" s="92"/>
      <c r="M22" s="92"/>
      <c r="N22" s="50"/>
    </row>
    <row r="23" spans="1:14" x14ac:dyDescent="0.55000000000000004">
      <c r="A23" s="61" t="s">
        <v>75</v>
      </c>
      <c r="B23" s="3" t="s">
        <v>55</v>
      </c>
      <c r="C23" s="50"/>
      <c r="D23" s="59" t="s">
        <v>66</v>
      </c>
      <c r="E23" s="35" t="str">
        <f t="array" ref="E23:H23">TRANSPOSE(DefineSize[Label])</f>
        <v>Micro</v>
      </c>
      <c r="F23" s="35" t="str">
        <v>Small</v>
      </c>
      <c r="G23" s="35" t="str">
        <v>Medium</v>
      </c>
      <c r="H23" s="35" t="str">
        <v>Large</v>
      </c>
      <c r="I23" s="59" t="s">
        <v>79</v>
      </c>
      <c r="J23" s="35" t="str">
        <f t="array" ref="J23:M23">TRANSPOSE(DefineSize[Label])</f>
        <v>Micro</v>
      </c>
      <c r="K23" s="35" t="str">
        <v>Small</v>
      </c>
      <c r="L23" s="35" t="str">
        <v>Medium</v>
      </c>
      <c r="M23" s="35" t="str">
        <v>Large</v>
      </c>
      <c r="N23" s="59" t="s">
        <v>79</v>
      </c>
    </row>
    <row r="24" spans="1:14" x14ac:dyDescent="0.55000000000000004">
      <c r="A24" s="55">
        <f>C17</f>
        <v>-0.18888888888888888</v>
      </c>
      <c r="B24" s="33" t="s">
        <v>77</v>
      </c>
      <c r="C24" s="50"/>
      <c r="D24" s="50">
        <f t="array" ref="D24">SUM(IF(LOOKUP((Data[Rev]-Data[Exp])/Data[Rev],DefineProfit[])=DefineProfit[[#This Row],[Label]],1,0))</f>
        <v>6</v>
      </c>
      <c r="E24" s="50">
        <f t="array" ref="E24">SUM(IF((LOOKUP((Data[Rev]-Data[Exp])/Data[Rev],DefineProfit[])=DefineProfit[[#This Row],[Label]])*(LOOKUP(Data[Rev],$A$11:$B$14)=E$23)&lt;&gt;0,1,0))</f>
        <v>1</v>
      </c>
      <c r="F24" s="50">
        <f t="array" ref="F24">SUM(IF((LOOKUP((Data[Rev]-Data[Exp])/Data[Rev],DefineProfit[])=DefineProfit[[#This Row],[Label]])*(LOOKUP(Data[Rev],$A$11:$B$14)=F$23)&lt;&gt;0,1,0))</f>
        <v>3</v>
      </c>
      <c r="G24" s="50">
        <f t="array" ref="G24">SUM(IF((LOOKUP((Data[Rev]-Data[Exp])/Data[Rev],DefineProfit[])=DefineProfit[[#This Row],[Label]])*(LOOKUP(Data[Rev],$A$11:$B$14)=G$23)&lt;&gt;0,1,0))</f>
        <v>1</v>
      </c>
      <c r="H24" s="50">
        <f t="array" ref="H24">SUM(IF((LOOKUP((Data[Rev]-Data[Exp])/Data[Rev],DefineProfit[])=DefineProfit[[#This Row],[Label]])*(LOOKUP(Data[Rev],$A$11:$B$14)=H$23)&lt;&gt;0,1,0))</f>
        <v>1</v>
      </c>
      <c r="I24" s="51" t="b">
        <f>SUM(E24:H24)=D24</f>
        <v>1</v>
      </c>
      <c r="J24" s="52">
        <f t="array" ref="J24">IF(E24&lt;&gt;0,AVERAGE(IF((LOOKUP((Data[Rev]-Data[Exp])/Data[Rev],DefineProfit[])=DefineProfit[[#This Row],[Label]])*(LOOKUP(Data[Rev],DefineSize[])=J$23)&lt;&gt;0,(Data[Rev]-Data[Exp])/Data[Rev],"")),0)</f>
        <v>-0.18888888888888888</v>
      </c>
      <c r="K24" s="52">
        <f t="array" ref="K24">IF(F24&lt;&gt;0,AVERAGE(IF((LOOKUP((Data[Rev]-Data[Exp])/Data[Rev],DefineProfit[])=DefineProfit[[#This Row],[Label]])*(LOOKUP(Data[Rev],DefineSize[])=K$23)&lt;&gt;0,(Data[Rev]-Data[Exp])/Data[Rev],"")),0)</f>
        <v>-9.3783797457169985E-2</v>
      </c>
      <c r="L24" s="52">
        <f t="array" ref="L24">IF(G24&lt;&gt;0,AVERAGE(IF((LOOKUP((Data[Rev]-Data[Exp])/Data[Rev],DefineProfit[])=DefineProfit[[#This Row],[Label]])*(LOOKUP(Data[Rev],DefineSize[])=L$23)&lt;&gt;0,(Data[Rev]-Data[Exp])/Data[Rev],"")),0)</f>
        <v>-5.3630363036303627E-2</v>
      </c>
      <c r="M24" s="52">
        <f t="array" ref="M24">IF(H24&lt;&gt;0,AVERAGE(IF((LOOKUP((Data[Rev]-Data[Exp])/Data[Rev],DefineProfit[])=DefineProfit[[#This Row],[Label]])*(LOOKUP(Data[Rev],DefineSize[])=M$23)&lt;&gt;0,(Data[Rev]-Data[Exp])/Data[Rev],"")),0)</f>
        <v>-3.6725162751202946E-2</v>
      </c>
      <c r="N24" s="52"/>
    </row>
    <row r="25" spans="1:14" x14ac:dyDescent="0.55000000000000004">
      <c r="A25" s="46">
        <f>C18</f>
        <v>-2.1714272218143746E-2</v>
      </c>
      <c r="B25" s="33" t="s">
        <v>76</v>
      </c>
      <c r="C25" s="50"/>
      <c r="D25" s="50">
        <f t="array" ref="D25">SUM(IF(LOOKUP((Data[Rev]-Data[Exp])/Data[Rev],$A$24:$B$27)=$B25,1,0))</f>
        <v>7</v>
      </c>
      <c r="E25" s="50">
        <f t="array" ref="E25">SUM(IF((LOOKUP((Data[Rev]-Data[Exp])/Data[Rev],DefineProfit[])=DefineProfit[[#This Row],[Label]])*(LOOKUP(Data[Rev],$A$11:$B$14)=E$23)&lt;&gt;0,1,0))</f>
        <v>1</v>
      </c>
      <c r="F25" s="50">
        <f t="array" ref="F25">SUM(IF((LOOKUP((Data[Rev]-Data[Exp])/Data[Rev],DefineProfit[])=DefineProfit[[#This Row],[Label]])*(LOOKUP(Data[Rev],$A$11:$B$14)=F$23)&lt;&gt;0,1,0))</f>
        <v>1</v>
      </c>
      <c r="G25" s="50">
        <f t="array" ref="G25">SUM(IF((LOOKUP((Data[Rev]-Data[Exp])/Data[Rev],DefineProfit[])=DefineProfit[[#This Row],[Label]])*(LOOKUP(Data[Rev],$A$11:$B$14)=G$23)&lt;&gt;0,1,0))</f>
        <v>3</v>
      </c>
      <c r="H25" s="50">
        <f t="array" ref="H25">SUM(IF((LOOKUP((Data[Rev]-Data[Exp])/Data[Rev],DefineProfit[])=DefineProfit[[#This Row],[Label]])*(LOOKUP(Data[Rev],$A$11:$B$14)=H$23)&lt;&gt;0,1,0))</f>
        <v>2</v>
      </c>
      <c r="I25" s="51" t="b">
        <f t="shared" ref="I25:I27" si="1">SUM(E25:H25)=D25</f>
        <v>1</v>
      </c>
      <c r="J25" s="52">
        <f t="array" ref="J25">IF(E25&lt;&gt;0,AVERAGE(IF((LOOKUP((Data[Rev]-Data[Exp])/Data[Rev],DefineProfit[])=DefineProfit[[#This Row],[Label]])*(LOOKUP(Data[Rev],DefineSize[])=J$23)&lt;&gt;0,(Data[Rev]-Data[Exp])/Data[Rev],"")),0)</f>
        <v>5.4945054945054944E-2</v>
      </c>
      <c r="K25" s="52">
        <f t="array" ref="K25">IF(F25&lt;&gt;0,AVERAGE(IF((LOOKUP((Data[Rev]-Data[Exp])/Data[Rev],DefineProfit[])=DefineProfit[[#This Row],[Label]])*(LOOKUP(Data[Rev],DefineSize[])=K$23)&lt;&gt;0,(Data[Rev]-Data[Exp])/Data[Rev],"")),0)</f>
        <v>4.8275862068965517E-2</v>
      </c>
      <c r="L25" s="52">
        <f t="array" ref="L25">IF(G25&lt;&gt;0,AVERAGE(IF((LOOKUP((Data[Rev]-Data[Exp])/Data[Rev],DefineProfit[])=DefineProfit[[#This Row],[Label]])*(LOOKUP(Data[Rev],DefineSize[])=L$23)&lt;&gt;0,(Data[Rev]-Data[Exp])/Data[Rev],"")),0)</f>
        <v>3.145098630546795E-2</v>
      </c>
      <c r="M25" s="52">
        <f t="array" ref="M25">IF(H25&lt;&gt;0,AVERAGE(IF((LOOKUP((Data[Rev]-Data[Exp])/Data[Rev],DefineProfit[])=DefineProfit[[#This Row],[Label]])*(LOOKUP(Data[Rev],DefineSize[])=M$23)&lt;&gt;0,(Data[Rev]-Data[Exp])/Data[Rev],"")),0)</f>
        <v>3.2810125110048396E-2</v>
      </c>
      <c r="N25" s="52"/>
    </row>
    <row r="26" spans="1:14" x14ac:dyDescent="0.55000000000000004">
      <c r="A26" s="46">
        <f>C19</f>
        <v>7.1406046135297219E-2</v>
      </c>
      <c r="B26" s="33" t="s">
        <v>78</v>
      </c>
      <c r="C26" s="50"/>
      <c r="D26" s="50">
        <f t="array" ref="D26">SUM(IF(LOOKUP((Data[Rev]-Data[Exp])/Data[Rev],$A$24:$B$27)=$B26,1,0))</f>
        <v>6</v>
      </c>
      <c r="E26" s="50">
        <f t="array" ref="E26">SUM(IF((LOOKUP((Data[Rev]-Data[Exp])/Data[Rev],DefineProfit[])=DefineProfit[[#This Row],[Label]])*(LOOKUP(Data[Rev],$A$11:$B$14)=E$23)&lt;&gt;0,1,0))</f>
        <v>1</v>
      </c>
      <c r="F26" s="50">
        <f t="array" ref="F26">SUM(IF((LOOKUP((Data[Rev]-Data[Exp])/Data[Rev],DefineProfit[])=DefineProfit[[#This Row],[Label]])*(LOOKUP(Data[Rev],$A$11:$B$14)=F$23)&lt;&gt;0,1,0))</f>
        <v>0</v>
      </c>
      <c r="G26" s="50">
        <f t="array" ref="G26">SUM(IF((LOOKUP((Data[Rev]-Data[Exp])/Data[Rev],DefineProfit[])=DefineProfit[[#This Row],[Label]])*(LOOKUP(Data[Rev],$A$11:$B$14)=G$23)&lt;&gt;0,1,0))</f>
        <v>2</v>
      </c>
      <c r="H26" s="50">
        <f t="array" ref="H26">SUM(IF((LOOKUP((Data[Rev]-Data[Exp])/Data[Rev],DefineProfit[])=DefineProfit[[#This Row],[Label]])*(LOOKUP(Data[Rev],$A$11:$B$14)=H$23)&lt;&gt;0,1,0))</f>
        <v>3</v>
      </c>
      <c r="I26" s="51" t="b">
        <f t="shared" si="1"/>
        <v>1</v>
      </c>
      <c r="J26" s="52">
        <f t="array" ref="J26">IF(E26&lt;&gt;0,AVERAGE(IF((LOOKUP((Data[Rev]-Data[Exp])/Data[Rev],DefineProfit[])=DefineProfit[[#This Row],[Label]])*(LOOKUP(Data[Rev],DefineSize[])=J$23)&lt;&gt;0,(Data[Rev]-Data[Exp])/Data[Rev],"")),0)</f>
        <v>0.22988505747126436</v>
      </c>
      <c r="K26" s="52">
        <f t="array" ref="K26">IF(F26&lt;&gt;0,AVERAGE(IF((LOOKUP((Data[Rev]-Data[Exp])/Data[Rev],DefineProfit[])=DefineProfit[[#This Row],[Label]])*(LOOKUP(Data[Rev],DefineSize[])=K$23)&lt;&gt;0,(Data[Rev]-Data[Exp])/Data[Rev],"")),0)</f>
        <v>0</v>
      </c>
      <c r="L26" s="52">
        <f t="array" ref="L26">IF(G26&lt;&gt;0,AVERAGE(IF((LOOKUP((Data[Rev]-Data[Exp])/Data[Rev],DefineProfit[])=DefineProfit[[#This Row],[Label]])*(LOOKUP(Data[Rev],DefineSize[])=L$23)&lt;&gt;0,(Data[Rev]-Data[Exp])/Data[Rev],"")),0)</f>
        <v>0.14774266964032368</v>
      </c>
      <c r="M26" s="52">
        <f t="array" ref="M26">IF(H26&lt;&gt;0,AVERAGE(IF((LOOKUP((Data[Rev]-Data[Exp])/Data[Rev],DefineProfit[])=DefineProfit[[#This Row],[Label]])*(LOOKUP(Data[Rev],DefineSize[])=M$23)&lt;&gt;0,(Data[Rev]-Data[Exp])/Data[Rev],"")),0)</f>
        <v>8.5771519840017851E-2</v>
      </c>
      <c r="N26" s="52"/>
    </row>
    <row r="27" spans="1:14" x14ac:dyDescent="0.55000000000000004">
      <c r="A27" s="46">
        <f>C20</f>
        <v>0.25</v>
      </c>
      <c r="B27" s="33" t="s">
        <v>102</v>
      </c>
      <c r="C27" s="50"/>
      <c r="D27" s="50">
        <f t="array" ref="D27">SUM(IF(LOOKUP((Data[Rev]-Data[Exp])/Data[Rev],$A$24:$B$27)=$B27,1,0))</f>
        <v>7</v>
      </c>
      <c r="E27" s="50">
        <f t="array" ref="E27">SUM(IF((LOOKUP((Data[Rev]-Data[Exp])/Data[Rev],DefineProfit[])=DefineProfit[[#This Row],[Label]])*(LOOKUP(Data[Rev],$A$11:$B$14)=E$23)&lt;&gt;0,1,0))</f>
        <v>3</v>
      </c>
      <c r="F27" s="50">
        <f t="array" ref="F27">SUM(IF((LOOKUP((Data[Rev]-Data[Exp])/Data[Rev],DefineProfit[])=DefineProfit[[#This Row],[Label]])*(LOOKUP(Data[Rev],$A$11:$B$14)=F$23)&lt;&gt;0,1,0))</f>
        <v>3</v>
      </c>
      <c r="G27" s="50">
        <f t="array" ref="G27">SUM(IF((LOOKUP((Data[Rev]-Data[Exp])/Data[Rev],DefineProfit[])=DefineProfit[[#This Row],[Label]])*(LOOKUP(Data[Rev],$A$11:$B$14)=G$23)&lt;&gt;0,1,0))</f>
        <v>1</v>
      </c>
      <c r="H27" s="50">
        <f t="array" ref="H27">SUM(IF((LOOKUP((Data[Rev]-Data[Exp])/Data[Rev],DefineProfit[])=DefineProfit[[#This Row],[Label]])*(LOOKUP(Data[Rev],$A$11:$B$14)=H$23)&lt;&gt;0,1,0))</f>
        <v>0</v>
      </c>
      <c r="I27" s="51" t="b">
        <f t="shared" si="1"/>
        <v>1</v>
      </c>
      <c r="J27" s="52">
        <f t="array" ref="J27">IF(E27&lt;&gt;0,AVERAGE(IF((LOOKUP((Data[Rev]-Data[Exp])/Data[Rev],DefineProfit[])=DefineProfit[[#This Row],[Label]])*(LOOKUP(Data[Rev],DefineSize[])=J$23)&lt;&gt;0,(Data[Rev]-Data[Exp])/Data[Rev],"")),0)</f>
        <v>0.33359410295251007</v>
      </c>
      <c r="K27" s="52">
        <f t="array" ref="K27">IF(F27&lt;&gt;0,AVERAGE(IF((LOOKUP((Data[Rev]-Data[Exp])/Data[Rev],DefineProfit[])=DefineProfit[[#This Row],[Label]])*(LOOKUP(Data[Rev],DefineSize[])=K$23)&lt;&gt;0,(Data[Rev]-Data[Exp])/Data[Rev],"")),0)</f>
        <v>0.3209022976464837</v>
      </c>
      <c r="L27" s="52">
        <f t="array" ref="L27">IF(G27&lt;&gt;0,AVERAGE(IF((LOOKUP((Data[Rev]-Data[Exp])/Data[Rev],DefineProfit[])=DefineProfit[[#This Row],[Label]])*(LOOKUP(Data[Rev],DefineSize[])=L$23)&lt;&gt;0,(Data[Rev]-Data[Exp])/Data[Rev],"")),0)</f>
        <v>0.25</v>
      </c>
      <c r="M27" s="52">
        <f t="array" ref="M27">IF(H27&lt;&gt;0,AVERAGE(IF((LOOKUP((Data[Rev]-Data[Exp])/Data[Rev],DefineProfit[])=DefineProfit[[#This Row],[Label]])*(LOOKUP(Data[Rev],DefineSize[])=M$23)&lt;&gt;0,(Data[Rev]-Data[Exp])/Data[Rev],"")),0)</f>
        <v>0</v>
      </c>
      <c r="N27" s="52"/>
    </row>
    <row r="28" spans="1:14" x14ac:dyDescent="0.55000000000000004">
      <c r="B28" s="33" t="s">
        <v>82</v>
      </c>
      <c r="C28" s="50"/>
      <c r="D28" s="54">
        <f>SUM(D24:D27)</f>
        <v>26</v>
      </c>
      <c r="E28" s="54">
        <f>SUM(E24:E27)</f>
        <v>6</v>
      </c>
      <c r="F28" s="54">
        <f t="shared" ref="F28:H28" si="2">SUM(F24:F27)</f>
        <v>7</v>
      </c>
      <c r="G28" s="54">
        <f t="shared" si="2"/>
        <v>7</v>
      </c>
      <c r="H28" s="54">
        <f t="shared" si="2"/>
        <v>6</v>
      </c>
      <c r="I28" s="59" t="b">
        <f t="array" ref="I28">E28:H28=TRANSPOSE(D11:D14)</f>
        <v>1</v>
      </c>
      <c r="J28" s="60">
        <f t="array" ref="J28">SUM(E24:E27*J24:J27)/SUM(E24:E27)</f>
        <v>0.18278725539749344</v>
      </c>
      <c r="K28" s="60">
        <f t="array" ref="K28">SUM(F24:F27*K24:K27)/SUM(F24:F27)</f>
        <v>0.10423305180527238</v>
      </c>
      <c r="L28" s="60">
        <f t="array" ref="L28">SUM(G24:G27*L24:L27)/SUM(G24:G27)</f>
        <v>8.3743990737249668E-2</v>
      </c>
      <c r="M28" s="60">
        <f t="array" ref="M28">SUM(H24:H27*M24:M27)/SUM(H24:H27)</f>
        <v>4.7701607831491237E-2</v>
      </c>
      <c r="N28" s="59" t="b">
        <f t="array" ref="N28">J28:M28=TRANSPOSE(L11:L14)</f>
        <v>1</v>
      </c>
    </row>
    <row r="29" spans="1:14" x14ac:dyDescent="0.55000000000000004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9" t="b">
        <f>SUMPRODUCT(J24:M27,E24:H27)=SUMPRODUCT(L11:L14,D11:D14)</f>
        <v>1</v>
      </c>
    </row>
    <row r="30" spans="1:14" x14ac:dyDescent="0.55000000000000004">
      <c r="A30" s="44" t="s">
        <v>114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9"/>
    </row>
    <row r="31" spans="1:14" x14ac:dyDescent="0.55000000000000004">
      <c r="A31" s="35" t="s">
        <v>86</v>
      </c>
      <c r="B31" s="33" t="s">
        <v>55</v>
      </c>
      <c r="C31" s="35" t="s">
        <v>87</v>
      </c>
    </row>
    <row r="32" spans="1:14" x14ac:dyDescent="0.55000000000000004">
      <c r="A32" s="32" t="s">
        <v>28</v>
      </c>
      <c r="B32" s="43" t="s">
        <v>88</v>
      </c>
      <c r="C32" s="62">
        <f t="array" ref="C32">SUM(IF(Data[Prov]=DefineRegion[[#This Row],[Province]],1,0))</f>
        <v>1</v>
      </c>
      <c r="D32" s="5"/>
    </row>
    <row r="33" spans="1:13" x14ac:dyDescent="0.55000000000000004">
      <c r="A33" s="32" t="s">
        <v>15</v>
      </c>
      <c r="B33" s="43" t="s">
        <v>91</v>
      </c>
      <c r="C33" s="62">
        <f t="array" ref="C33">SUM(IF(Data[Prov]=DefineRegion[[#This Row],[Province]],1,0))</f>
        <v>4</v>
      </c>
      <c r="D33" s="5"/>
    </row>
    <row r="34" spans="1:13" x14ac:dyDescent="0.55000000000000004">
      <c r="A34" s="32" t="s">
        <v>24</v>
      </c>
      <c r="B34" s="43" t="s">
        <v>88</v>
      </c>
      <c r="C34" s="62">
        <f t="array" ref="C34">SUM(IF(Data[Prov]=DefineRegion[[#This Row],[Province]],1,0))</f>
        <v>2</v>
      </c>
      <c r="D34" s="5"/>
    </row>
    <row r="35" spans="1:13" x14ac:dyDescent="0.55000000000000004">
      <c r="A35" s="32" t="s">
        <v>17</v>
      </c>
      <c r="B35" s="43" t="s">
        <v>89</v>
      </c>
      <c r="C35" s="62">
        <f t="array" ref="C35">SUM(IF(Data[Prov]=DefineRegion[[#This Row],[Province]],1,0))</f>
        <v>9</v>
      </c>
      <c r="D35" s="5"/>
    </row>
    <row r="36" spans="1:13" x14ac:dyDescent="0.55000000000000004">
      <c r="A36" s="32" t="s">
        <v>13</v>
      </c>
      <c r="B36" s="43" t="s">
        <v>90</v>
      </c>
      <c r="C36" s="62">
        <f t="array" ref="C36">SUM(IF(Data[Prov]=DefineRegion[[#This Row],[Province]],1,0))</f>
        <v>8</v>
      </c>
      <c r="D36" s="5"/>
    </row>
    <row r="37" spans="1:13" x14ac:dyDescent="0.55000000000000004">
      <c r="A37" s="32" t="s">
        <v>21</v>
      </c>
      <c r="B37" s="43" t="s">
        <v>88</v>
      </c>
      <c r="C37" s="62">
        <f t="array" ref="C37">SUM(IF(Data[Prov]=DefineRegion[[#This Row],[Province]],1,0))</f>
        <v>2</v>
      </c>
      <c r="D37" s="5"/>
    </row>
    <row r="38" spans="1:13" x14ac:dyDescent="0.55000000000000004">
      <c r="A38"/>
      <c r="B38" s="33" t="s">
        <v>95</v>
      </c>
      <c r="C38" s="63">
        <f>SUM(C32:C37)</f>
        <v>26</v>
      </c>
    </row>
    <row r="39" spans="1:13" x14ac:dyDescent="0.55000000000000004">
      <c r="A39"/>
      <c r="B39" s="33"/>
      <c r="C39" s="63"/>
    </row>
    <row r="40" spans="1:13" x14ac:dyDescent="0.55000000000000004">
      <c r="A40"/>
      <c r="E40" s="92" t="s">
        <v>97</v>
      </c>
      <c r="F40" s="92"/>
      <c r="G40" s="92"/>
      <c r="H40" s="92"/>
      <c r="J40" s="92" t="s">
        <v>96</v>
      </c>
      <c r="K40" s="92"/>
      <c r="L40" s="92"/>
      <c r="M40" s="92"/>
    </row>
    <row r="41" spans="1:13" x14ac:dyDescent="0.55000000000000004">
      <c r="A41"/>
      <c r="B41" s="3" t="s">
        <v>55</v>
      </c>
      <c r="D41" s="59" t="s">
        <v>66</v>
      </c>
      <c r="E41" s="35" t="str">
        <f t="array" ref="E41:H41">TRANSPOSE(DefineSize[Label])</f>
        <v>Micro</v>
      </c>
      <c r="F41" s="35" t="str">
        <v>Small</v>
      </c>
      <c r="G41" s="35" t="str">
        <v>Medium</v>
      </c>
      <c r="H41" s="35" t="str">
        <v>Large</v>
      </c>
      <c r="I41" s="35" t="s">
        <v>79</v>
      </c>
      <c r="J41" s="35" t="s">
        <v>92</v>
      </c>
      <c r="K41" s="35" t="s">
        <v>93</v>
      </c>
      <c r="L41" s="35" t="s">
        <v>94</v>
      </c>
      <c r="M41" s="35" t="s">
        <v>82</v>
      </c>
    </row>
    <row r="42" spans="1:13" x14ac:dyDescent="0.55000000000000004">
      <c r="A42"/>
      <c r="B42" s="33" t="s">
        <v>91</v>
      </c>
      <c r="D42" s="50">
        <f t="array" ref="D42">SUM(IF(LOOKUP(Data[Prov],DefineRegion[])=$B42,1,0))</f>
        <v>4</v>
      </c>
      <c r="E42" s="50">
        <f t="array" ref="E42">SUM(IF((LOOKUP(Data[Prov],DefineRegion[])=$B42)*(LOOKUP(Data[Rev],DefineSize[])=E$41)&lt;&gt;0,1,0))</f>
        <v>1</v>
      </c>
      <c r="F42" s="50">
        <f t="array" ref="F42">SUM(IF((LOOKUP(Data[Prov],DefineRegion[])=$B42)*(LOOKUP(Data[Rev],DefineSize[])=F$41)&lt;&gt;0,1,0))</f>
        <v>1</v>
      </c>
      <c r="G42" s="50">
        <f t="array" ref="G42">SUM(IF((LOOKUP(Data[Prov],DefineRegion[])=$B42)*(LOOKUP(Data[Rev],DefineSize[])=G$41)&lt;&gt;0,1,0))</f>
        <v>1</v>
      </c>
      <c r="H42" s="50">
        <f t="array" ref="H42">SUM(IF((LOOKUP(Data[Prov],DefineRegion[])=$B42)*(LOOKUP(Data[Rev],DefineSize[])=H$41)&lt;&gt;0,1,0))</f>
        <v>1</v>
      </c>
      <c r="I42" s="64" t="b">
        <f>SUM(E42:H42)=D42</f>
        <v>1</v>
      </c>
      <c r="J42" s="52">
        <f t="array" aca="1" ref="J42" ca="1">AVERAGE(IF(LOOKUP(Data[Prov],DefineRegion[])=$B42,(Data[Rev]*INDIRECT("Data[Rev%"&amp;J$41&amp;"]")-Data[Exp]*INDIRECT("Data[Exp%"&amp;J$41&amp;"]"))/(Data[Rev]*INDIRECT("Data[Rev%"&amp;J$41&amp;"]")),""))</f>
        <v>0.1426547993081681</v>
      </c>
      <c r="K42" s="52">
        <f t="array" aca="1" ref="K42" ca="1">AVERAGE(IF(LOOKUP(Data[Prov],DefineRegion[])=$B42,(Data[Rev]*INDIRECT("Data[Rev%"&amp;K$41&amp;"]")-Data[Exp]*INDIRECT("Data[Exp%"&amp;K$41&amp;"]"))/(Data[Rev]*INDIRECT("Data[Rev%"&amp;K$41&amp;"]")),""))</f>
        <v>1.0179731853826007E-2</v>
      </c>
      <c r="L42" s="52">
        <f t="array" aca="1" ref="L42" ca="1">AVERAGE(IF(LOOKUP(Data[Prov],DefineRegion[])=$B42,(Data[Rev]*INDIRECT("Data[Rev%"&amp;L$41&amp;"]")-Data[Exp]*INDIRECT("Data[Exp%"&amp;L$41&amp;"]"))/(Data[Rev]*INDIRECT("Data[Rev%"&amp;L$41&amp;"]")),""))</f>
        <v>-1.4904126484533917E-2</v>
      </c>
      <c r="M42" s="52">
        <f t="array" ref="M42">AVERAGE(IF(LOOKUP(Data[Prov],DefineRegion[])=$B42,(Data[Rev]-Data[Exp])/Data[Rev],""))</f>
        <v>8.9035329767460022E-2</v>
      </c>
    </row>
    <row r="43" spans="1:13" x14ac:dyDescent="0.55000000000000004">
      <c r="A43"/>
      <c r="B43" s="33" t="s">
        <v>88</v>
      </c>
      <c r="D43" s="50">
        <f t="array" ref="D43">SUM(IF(LOOKUP(Data[Prov],$A$32:$B$37)=$B43,1,0))</f>
        <v>5</v>
      </c>
      <c r="E43" s="50">
        <f t="array" ref="E43">SUM(IF((LOOKUP(Data[Prov],DefineRegion[])=$B43)*(LOOKUP(Data[Rev],DefineSize[])=E$41)&lt;&gt;0,1,0))</f>
        <v>2</v>
      </c>
      <c r="F43" s="50">
        <f t="array" ref="F43">SUM(IF((LOOKUP(Data[Prov],DefineRegion[])=$B43)*(LOOKUP(Data[Rev],DefineSize[])=F$41)&lt;&gt;0,1,0))</f>
        <v>3</v>
      </c>
      <c r="G43" s="50">
        <f t="array" ref="G43">SUM(IF((LOOKUP(Data[Prov],DefineRegion[])=$B43)*(LOOKUP(Data[Rev],DefineSize[])=G$41)&lt;&gt;0,1,0))</f>
        <v>0</v>
      </c>
      <c r="H43" s="50">
        <f t="array" ref="H43">SUM(IF((LOOKUP(Data[Prov],DefineRegion[])=$B43)*(LOOKUP(Data[Rev],DefineSize[])=H$41)&lt;&gt;0,1,0))</f>
        <v>0</v>
      </c>
      <c r="I43" s="64" t="b">
        <f t="shared" ref="I43:I45" si="3">SUM(E43:H43)=D43</f>
        <v>1</v>
      </c>
      <c r="J43" s="52">
        <f t="array" aca="1" ref="J43" ca="1">AVERAGE(IF(LOOKUP(Data[Prov],DefineRegion[])=$B43,(Data[Rev]*INDIRECT("Data[Rev%"&amp;J$41&amp;"]")-Data[Exp]*INDIRECT("Data[Exp%"&amp;J$41&amp;"]"))/(Data[Rev]*INDIRECT("Data[Rev%"&amp;J$41&amp;"]")),""))</f>
        <v>0.10306358323805129</v>
      </c>
      <c r="K43" s="52">
        <f t="array" aca="1" ref="K43" ca="1">AVERAGE(IF(LOOKUP(Data[Prov],DefineRegion[])=$B43,(Data[Rev]*INDIRECT("Data[Rev%"&amp;K$41&amp;"]")-Data[Exp]*INDIRECT("Data[Exp%"&amp;K$41&amp;"]"))/(Data[Rev]*INDIRECT("Data[Rev%"&amp;K$41&amp;"]")),""))</f>
        <v>0.38485283361986261</v>
      </c>
      <c r="L43" s="52">
        <f t="array" aca="1" ref="L43" ca="1">AVERAGE(IF(LOOKUP(Data[Prov],DefineRegion[])=$B43,(Data[Rev]*INDIRECT("Data[Rev%"&amp;L$41&amp;"]")-Data[Exp]*INDIRECT("Data[Exp%"&amp;L$41&amp;"]"))/(Data[Rev]*INDIRECT("Data[Rev%"&amp;L$41&amp;"]")),""))</f>
        <v>7.1276791401226006E-3</v>
      </c>
      <c r="M43" s="52">
        <f t="array" ref="M43">AVERAGE(IF(LOOKUP(Data[Prov],$A$32:$B$37)=$B43,(Data[Rev]-Data[Exp])/Data[Rev],""))</f>
        <v>0.11301521391463867</v>
      </c>
    </row>
    <row r="44" spans="1:13" x14ac:dyDescent="0.55000000000000004">
      <c r="A44"/>
      <c r="B44" s="33" t="s">
        <v>89</v>
      </c>
      <c r="D44" s="50">
        <f t="array" ref="D44">SUM(IF(LOOKUP(Data[Prov],$A$32:$B$37)=$B44,1,0))</f>
        <v>9</v>
      </c>
      <c r="E44" s="50">
        <f t="array" ref="E44">SUM(IF((LOOKUP(Data[Prov],DefineRegion[])=$B44)*(LOOKUP(Data[Rev],DefineSize[])=E$41)&lt;&gt;0,1,0))</f>
        <v>1</v>
      </c>
      <c r="F44" s="50">
        <f t="array" ref="F44">SUM(IF((LOOKUP(Data[Prov],DefineRegion[])=$B44)*(LOOKUP(Data[Rev],DefineSize[])=F$41)&lt;&gt;0,1,0))</f>
        <v>3</v>
      </c>
      <c r="G44" s="50">
        <f t="array" ref="G44">SUM(IF((LOOKUP(Data[Prov],DefineRegion[])=$B44)*(LOOKUP(Data[Rev],DefineSize[])=G$41)&lt;&gt;0,1,0))</f>
        <v>3</v>
      </c>
      <c r="H44" s="50">
        <f t="array" ref="H44">SUM(IF((LOOKUP(Data[Prov],DefineRegion[])=$B44)*(LOOKUP(Data[Rev],DefineSize[])=H$41)&lt;&gt;0,1,0))</f>
        <v>2</v>
      </c>
      <c r="I44" s="64" t="b">
        <f t="shared" si="3"/>
        <v>1</v>
      </c>
      <c r="J44" s="52">
        <f t="array" aca="1" ref="J44" ca="1">AVERAGE(IF(LOOKUP(Data[Prov],DefineRegion[])=$B44,(Data[Rev]*INDIRECT("Data[Rev%"&amp;J$41&amp;"]")-Data[Exp]*INDIRECT("Data[Exp%"&amp;J$41&amp;"]"))/(Data[Rev]*INDIRECT("Data[Rev%"&amp;J$41&amp;"]")),""))</f>
        <v>0.12838720424422051</v>
      </c>
      <c r="K44" s="52">
        <f t="array" aca="1" ref="K44" ca="1">AVERAGE(IF(LOOKUP(Data[Prov],DefineRegion[])=$B44,(Data[Rev]*INDIRECT("Data[Rev%"&amp;K$41&amp;"]")-Data[Exp]*INDIRECT("Data[Exp%"&amp;K$41&amp;"]"))/(Data[Rev]*INDIRECT("Data[Rev%"&amp;K$41&amp;"]")),""))</f>
        <v>0.21729273525653461</v>
      </c>
      <c r="L44" s="52">
        <f t="array" aca="1" ref="L44" ca="1">AVERAGE(IF(LOOKUP(Data[Prov],DefineRegion[])=$B44,(Data[Rev]*INDIRECT("Data[Rev%"&amp;L$41&amp;"]")-Data[Exp]*INDIRECT("Data[Exp%"&amp;L$41&amp;"]"))/(Data[Rev]*INDIRECT("Data[Rev%"&amp;L$41&amp;"]")),""))</f>
        <v>-2.5877231743122994E-2</v>
      </c>
      <c r="M44" s="52">
        <f t="array" ref="M44">AVERAGE(IF(LOOKUP(Data[Prov],$A$32:$B$37)=$B44,(Data[Rev]-Data[Exp])/Data[Rev],""))</f>
        <v>0.12446592611489396</v>
      </c>
    </row>
    <row r="45" spans="1:13" x14ac:dyDescent="0.55000000000000004">
      <c r="A45"/>
      <c r="B45" s="33" t="s">
        <v>90</v>
      </c>
      <c r="D45" s="50">
        <f t="array" ref="D45">SUM(IF(LOOKUP(Data[Prov],$A$32:$B$37)=$B45,1,0))</f>
        <v>8</v>
      </c>
      <c r="E45" s="50">
        <f t="array" ref="E45">SUM(IF((LOOKUP(Data[Prov],DefineRegion[])=$B45)*(LOOKUP(Data[Rev],DefineSize[])=E$41)&lt;&gt;0,1,0))</f>
        <v>2</v>
      </c>
      <c r="F45" s="50">
        <f t="array" ref="F45">SUM(IF((LOOKUP(Data[Prov],DefineRegion[])=$B45)*(LOOKUP(Data[Rev],DefineSize[])=F$41)&lt;&gt;0,1,0))</f>
        <v>0</v>
      </c>
      <c r="G45" s="50">
        <f t="array" ref="G45">SUM(IF((LOOKUP(Data[Prov],DefineRegion[])=$B45)*(LOOKUP(Data[Rev],DefineSize[])=G$41)&lt;&gt;0,1,0))</f>
        <v>3</v>
      </c>
      <c r="H45" s="50">
        <f t="array" ref="H45">SUM(IF((LOOKUP(Data[Prov],DefineRegion[])=$B45)*(LOOKUP(Data[Rev],DefineSize[])=H$41)&lt;&gt;0,1,0))</f>
        <v>3</v>
      </c>
      <c r="I45" s="64" t="b">
        <f t="shared" si="3"/>
        <v>1</v>
      </c>
      <c r="J45" s="52">
        <f t="array" aca="1" ref="J45" ca="1">AVERAGE(IF(LOOKUP(Data[Prov],DefineRegion[])=$B45,(Data[Rev]*INDIRECT("Data[Rev%"&amp;J$41&amp;"]")-Data[Exp]*INDIRECT("Data[Exp%"&amp;J$41&amp;"]"))/(Data[Rev]*INDIRECT("Data[Rev%"&amp;J$41&amp;"]")),""))</f>
        <v>7.0538656798402169E-2</v>
      </c>
      <c r="K45" s="52">
        <f t="array" aca="1" ref="K45" ca="1">AVERAGE(IF(LOOKUP(Data[Prov],DefineRegion[])=$B45,(Data[Rev]*INDIRECT("Data[Rev%"&amp;K$41&amp;"]")-Data[Exp]*INDIRECT("Data[Exp%"&amp;K$41&amp;"]"))/(Data[Rev]*INDIRECT("Data[Rev%"&amp;K$41&amp;"]")),""))</f>
        <v>0.10141004201734947</v>
      </c>
      <c r="L45" s="52">
        <f t="array" aca="1" ref="L45" ca="1">AVERAGE(IF(LOOKUP(Data[Prov],DefineRegion[])=$B45,(Data[Rev]*INDIRECT("Data[Rev%"&amp;L$41&amp;"]")-Data[Exp]*INDIRECT("Data[Exp%"&amp;L$41&amp;"]"))/(Data[Rev]*INDIRECT("Data[Rev%"&amp;L$41&amp;"]")),""))</f>
        <v>4.7953078969029825E-2</v>
      </c>
      <c r="M45" s="52">
        <f t="array" ref="M45">AVERAGE(IF(LOOKUP(Data[Prov],$A$32:$B$37)=$B45,(Data[Rev]-Data[Exp])/Data[Rev],""))</f>
        <v>8.2170219186810417E-2</v>
      </c>
    </row>
    <row r="46" spans="1:13" x14ac:dyDescent="0.55000000000000004">
      <c r="A46"/>
      <c r="B46" s="33" t="s">
        <v>79</v>
      </c>
      <c r="D46" t="b">
        <f>SUM(D42:D45)=C38</f>
        <v>1</v>
      </c>
    </row>
    <row r="47" spans="1:13" x14ac:dyDescent="0.55000000000000004">
      <c r="A47"/>
    </row>
    <row r="48" spans="1:13" x14ac:dyDescent="0.55000000000000004">
      <c r="A48"/>
      <c r="D48" s="5"/>
    </row>
    <row r="49" spans="1:4" x14ac:dyDescent="0.55000000000000004">
      <c r="A49"/>
      <c r="D49" s="5"/>
    </row>
    <row r="50" spans="1:4" x14ac:dyDescent="0.55000000000000004">
      <c r="A50"/>
      <c r="D50" s="5"/>
    </row>
    <row r="51" spans="1:4" x14ac:dyDescent="0.55000000000000004">
      <c r="A51"/>
      <c r="D51" s="5"/>
    </row>
    <row r="52" spans="1:4" x14ac:dyDescent="0.55000000000000004">
      <c r="A52"/>
    </row>
    <row r="53" spans="1:4" x14ac:dyDescent="0.55000000000000004">
      <c r="A53"/>
    </row>
    <row r="54" spans="1:4" x14ac:dyDescent="0.55000000000000004">
      <c r="A54"/>
    </row>
    <row r="55" spans="1:4" x14ac:dyDescent="0.55000000000000004">
      <c r="A55"/>
    </row>
    <row r="56" spans="1:4" x14ac:dyDescent="0.55000000000000004">
      <c r="A56"/>
    </row>
  </sheetData>
  <mergeCells count="8">
    <mergeCell ref="E40:H40"/>
    <mergeCell ref="J40:M40"/>
    <mergeCell ref="E9:F9"/>
    <mergeCell ref="G9:H9"/>
    <mergeCell ref="I9:K9"/>
    <mergeCell ref="L9:M9"/>
    <mergeCell ref="E22:H22"/>
    <mergeCell ref="J22:M22"/>
  </mergeCells>
  <conditionalFormatting sqref="J24:M27">
    <cfRule type="colorScale" priority="4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24:H27">
    <cfRule type="colorScale" priority="3">
      <colorScale>
        <cfvo type="min"/>
        <cfvo type="max"/>
        <color theme="0"/>
        <color rgb="FFFF9800"/>
      </colorScale>
    </cfRule>
  </conditionalFormatting>
  <conditionalFormatting sqref="J42:L45">
    <cfRule type="colorScale" priority="2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42:H45">
    <cfRule type="colorScale" priority="1">
      <colorScale>
        <cfvo type="min"/>
        <cfvo type="max"/>
        <color theme="0"/>
        <color rgb="FFFF9800"/>
      </colorScale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14" sqref="H14"/>
    </sheetView>
  </sheetViews>
  <sheetFormatPr defaultColWidth="10.94140625" defaultRowHeight="15.7" x14ac:dyDescent="0.55000000000000004"/>
  <cols>
    <col min="1" max="4" width="10.94140625" customWidth="1"/>
  </cols>
  <sheetData>
    <row r="1" spans="1:5" s="19" customFormat="1" ht="31.35" customHeight="1" x14ac:dyDescent="0.55000000000000004">
      <c r="A1" s="18" t="str">
        <f ca="1">_xlfn.FORMULATEXT(A2)</f>
        <v>{=Data[Rev]}</v>
      </c>
      <c r="C1" s="89" t="str">
        <f ca="1">_xlfn.FORMULATEXT(C2)</f>
        <v>{=LOOKUP(Data[Rev],DefineSize)}</v>
      </c>
      <c r="D1" s="89"/>
      <c r="E1" s="89"/>
    </row>
    <row r="2" spans="1:5" x14ac:dyDescent="0.55000000000000004">
      <c r="A2" s="11">
        <f t="array" ref="A2:A27">Data[Rev]</f>
        <v>28264000</v>
      </c>
      <c r="C2" s="8" t="str">
        <f t="array" ref="C2:C27">LOOKUP(Data[Rev],DefineSize[])</f>
        <v>Large</v>
      </c>
    </row>
    <row r="3" spans="1:5" x14ac:dyDescent="0.55000000000000004">
      <c r="A3" s="12">
        <v>129000</v>
      </c>
      <c r="C3" s="9" t="str">
        <v>Small</v>
      </c>
    </row>
    <row r="4" spans="1:5" x14ac:dyDescent="0.55000000000000004">
      <c r="A4" s="12">
        <v>145000</v>
      </c>
      <c r="C4" s="9" t="str">
        <v>Small</v>
      </c>
    </row>
    <row r="5" spans="1:5" x14ac:dyDescent="0.55000000000000004">
      <c r="A5" s="12">
        <v>27402000</v>
      </c>
      <c r="C5" s="9" t="str">
        <v>Large</v>
      </c>
    </row>
    <row r="6" spans="1:5" x14ac:dyDescent="0.55000000000000004">
      <c r="A6" s="12">
        <v>148000</v>
      </c>
      <c r="C6" s="9" t="str">
        <v>Small</v>
      </c>
    </row>
    <row r="7" spans="1:5" x14ac:dyDescent="0.55000000000000004">
      <c r="A7" s="12">
        <v>74000</v>
      </c>
      <c r="C7" s="9" t="str">
        <v>Micro</v>
      </c>
    </row>
    <row r="8" spans="1:5" x14ac:dyDescent="0.55000000000000004">
      <c r="A8" s="12">
        <v>91000</v>
      </c>
      <c r="C8" s="9" t="str">
        <v>Micro</v>
      </c>
    </row>
    <row r="9" spans="1:5" x14ac:dyDescent="0.55000000000000004">
      <c r="A9" s="12">
        <v>124000</v>
      </c>
      <c r="C9" s="9" t="str">
        <v>Small</v>
      </c>
    </row>
    <row r="10" spans="1:5" x14ac:dyDescent="0.55000000000000004">
      <c r="A10" s="12">
        <v>5636000</v>
      </c>
      <c r="C10" s="9" t="str">
        <v>Medium</v>
      </c>
    </row>
    <row r="11" spans="1:5" x14ac:dyDescent="0.55000000000000004">
      <c r="A11" s="12">
        <v>9549000</v>
      </c>
      <c r="C11" s="9" t="str">
        <v>Medium</v>
      </c>
    </row>
    <row r="12" spans="1:5" x14ac:dyDescent="0.55000000000000004">
      <c r="A12" s="12">
        <v>283000</v>
      </c>
      <c r="C12" s="9" t="str">
        <v>Small</v>
      </c>
    </row>
    <row r="13" spans="1:5" x14ac:dyDescent="0.55000000000000004">
      <c r="A13" s="12">
        <v>11167000</v>
      </c>
      <c r="C13" s="9" t="str">
        <v>Medium</v>
      </c>
    </row>
    <row r="14" spans="1:5" x14ac:dyDescent="0.55000000000000004">
      <c r="A14" s="12">
        <v>90000</v>
      </c>
      <c r="C14" s="9" t="str">
        <v>Micro</v>
      </c>
    </row>
    <row r="15" spans="1:5" x14ac:dyDescent="0.55000000000000004">
      <c r="A15" s="12">
        <v>115687000</v>
      </c>
      <c r="C15" s="9" t="str">
        <v>Large</v>
      </c>
    </row>
    <row r="16" spans="1:5" x14ac:dyDescent="0.55000000000000004">
      <c r="A16" s="12">
        <v>145000</v>
      </c>
      <c r="C16" s="9" t="str">
        <v>Small</v>
      </c>
    </row>
    <row r="17" spans="1:3" x14ac:dyDescent="0.55000000000000004">
      <c r="A17" s="12">
        <v>114000</v>
      </c>
      <c r="C17" s="9" t="str">
        <v>Small</v>
      </c>
    </row>
    <row r="18" spans="1:3" x14ac:dyDescent="0.55000000000000004">
      <c r="A18" s="12">
        <v>13002000</v>
      </c>
      <c r="C18" s="9" t="str">
        <v>Medium</v>
      </c>
    </row>
    <row r="19" spans="1:3" x14ac:dyDescent="0.55000000000000004">
      <c r="A19" s="12">
        <v>96000</v>
      </c>
      <c r="C19" s="9" t="str">
        <v>Micro</v>
      </c>
    </row>
    <row r="20" spans="1:3" x14ac:dyDescent="0.55000000000000004">
      <c r="A20" s="12">
        <v>613000</v>
      </c>
      <c r="C20" s="9" t="str">
        <v>Medium</v>
      </c>
    </row>
    <row r="21" spans="1:3" x14ac:dyDescent="0.55000000000000004">
      <c r="A21" s="12">
        <v>1212000</v>
      </c>
      <c r="C21" s="9" t="str">
        <v>Medium</v>
      </c>
    </row>
    <row r="22" spans="1:3" x14ac:dyDescent="0.55000000000000004">
      <c r="A22" s="12">
        <v>770156000</v>
      </c>
      <c r="C22" s="9" t="str">
        <v>Large</v>
      </c>
    </row>
    <row r="23" spans="1:3" x14ac:dyDescent="0.55000000000000004">
      <c r="A23" s="12">
        <v>181206000</v>
      </c>
      <c r="C23" s="9" t="str">
        <v>Large</v>
      </c>
    </row>
    <row r="24" spans="1:3" x14ac:dyDescent="0.55000000000000004">
      <c r="A24" s="12">
        <v>113000</v>
      </c>
      <c r="C24" s="9" t="str">
        <v>Micro</v>
      </c>
    </row>
    <row r="25" spans="1:3" x14ac:dyDescent="0.55000000000000004">
      <c r="A25" s="12">
        <v>45455000</v>
      </c>
      <c r="C25" s="9" t="str">
        <v>Large</v>
      </c>
    </row>
    <row r="26" spans="1:3" x14ac:dyDescent="0.55000000000000004">
      <c r="A26" s="12">
        <v>1137000</v>
      </c>
      <c r="C26" s="9" t="str">
        <v>Medium</v>
      </c>
    </row>
    <row r="27" spans="1:3" x14ac:dyDescent="0.55000000000000004">
      <c r="A27" s="13">
        <v>87000</v>
      </c>
      <c r="C27" s="10" t="str">
        <v>Micro</v>
      </c>
    </row>
  </sheetData>
  <mergeCells count="1">
    <mergeCell ref="C1:E1"/>
  </mergeCells>
  <conditionalFormatting sqref="C2:C27">
    <cfRule type="cellIs" dxfId="1" priority="9" operator="equal">
      <formula>FALSE</formula>
    </cfRule>
    <cfRule type="cellIs" dxfId="0" priority="10" operator="equal">
      <formula>TRUE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McClary</dc:creator>
  <cp:lastModifiedBy>Greg McClary</cp:lastModifiedBy>
  <dcterms:created xsi:type="dcterms:W3CDTF">2017-01-09T00:57:16Z</dcterms:created>
  <dcterms:modified xsi:type="dcterms:W3CDTF">2017-02-01T02:48:02Z</dcterms:modified>
</cp:coreProperties>
</file>